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illa Load Schedule" sheetId="1" state="visible" r:id="rId1"/>
    <sheet xmlns:r="http://schemas.openxmlformats.org/officeDocument/2006/relationships" name="Guide" sheetId="2" state="visible" r:id="rId2"/>
  </sheets>
  <definedNames/>
  <calcPr calcId="124519" fullCalcOnLoad="1"/>
</workbook>
</file>

<file path=xl/styles.xml><?xml version="1.0" encoding="utf-8"?>
<styleSheet xmlns="http://schemas.openxmlformats.org/spreadsheetml/2006/main">
  <numFmts count="2">
    <numFmt numFmtId="164" formatCode="0.0"/>
    <numFmt numFmtId="165" formatCode="0.0%"/>
  </numFmts>
  <fonts count="14">
    <font>
      <name val="Calibri"/>
      <family val="2"/>
      <color theme="1"/>
      <sz val="11"/>
      <scheme val="minor"/>
    </font>
    <font>
      <name val="Tahoma"/>
      <b val="1"/>
      <color rgb="00FFFFFF"/>
      <sz val="16"/>
    </font>
    <font>
      <name val="Tahoma"/>
      <color rgb="00FFFFFF"/>
      <sz val="9"/>
    </font>
    <font>
      <name val="Tahoma"/>
      <b val="1"/>
      <color rgb="00FFFFFF"/>
      <sz val="10"/>
    </font>
    <font>
      <name val="Tahoma"/>
      <color rgb="001F4FB5"/>
      <sz val="10"/>
    </font>
    <font>
      <name val="Tahoma"/>
      <b val="1"/>
      <color rgb="00072A33"/>
      <sz val="11"/>
    </font>
    <font>
      <name val="Tahoma"/>
      <b val="1"/>
      <color rgb="001B2B30"/>
      <sz val="10"/>
    </font>
    <font>
      <name val="Tahoma"/>
      <color rgb="005E6B6E"/>
      <sz val="9"/>
    </font>
    <font>
      <name val="Tahoma"/>
      <color rgb="001B2B30"/>
      <sz val="10"/>
    </font>
    <font>
      <name val="Tahoma"/>
      <b val="1"/>
      <color rgb="00FFFFFF"/>
      <sz val="9"/>
    </font>
    <font>
      <name val="Tahoma"/>
      <b val="1"/>
      <color rgb="00D4A72C"/>
      <sz val="18"/>
    </font>
    <font>
      <name val="Tahoma"/>
      <b val="1"/>
      <color rgb="005E6B6E"/>
      <sz val="9"/>
    </font>
    <font>
      <name val="Tahoma"/>
      <b val="1"/>
      <color rgb="000B3C49"/>
      <sz val="18"/>
    </font>
    <font>
      <name val="Tahoma"/>
      <b val="1"/>
      <color rgb="00D4A72C"/>
      <sz val="10"/>
    </font>
  </fonts>
  <fills count="8">
    <fill>
      <patternFill/>
    </fill>
    <fill>
      <patternFill patternType="gray125"/>
    </fill>
    <fill>
      <patternFill patternType="solid">
        <fgColor rgb="000B3C49"/>
      </patternFill>
    </fill>
    <fill>
      <patternFill patternType="solid">
        <fgColor rgb="00072A33"/>
      </patternFill>
    </fill>
    <fill>
      <patternFill patternType="solid">
        <fgColor rgb="00FFF3CF"/>
      </patternFill>
    </fill>
    <fill>
      <patternFill patternType="solid">
        <fgColor rgb="00E9E2CC"/>
      </patternFill>
    </fill>
    <fill>
      <patternFill patternType="solid">
        <fgColor rgb="00E3EFEC"/>
      </patternFill>
    </fill>
    <fill>
      <patternFill patternType="solid">
        <fgColor rgb="00CFE5DF"/>
      </patternFill>
    </fill>
  </fills>
  <borders count="8">
    <border>
      <left/>
      <right/>
      <top/>
      <bottom/>
      <diagonal/>
    </border>
    <border>
      <left style="thin">
        <color rgb="00CBBF98"/>
      </left>
      <right style="thin">
        <color rgb="00CBBF98"/>
      </right>
      <top style="thin">
        <color rgb="00CBBF98"/>
      </top>
      <bottom style="thin">
        <color rgb="00CBBF98"/>
      </bottom>
    </border>
    <border>
      <top style="medium">
        <color rgb="00D4A72C"/>
      </top>
    </border>
    <border/>
    <border>
      <left/>
      <right/>
      <top style="thin">
        <color rgb="00CBBF98"/>
      </top>
      <bottom/>
      <diagonal/>
    </border>
    <border>
      <left/>
      <right style="thin">
        <color rgb="00CBBF98"/>
      </right>
      <top style="thin">
        <color rgb="00CBBF98"/>
      </top>
      <bottom/>
      <diagonal/>
    </border>
    <border>
      <left/>
      <right/>
      <top style="thin">
        <color rgb="00CBBF98"/>
      </top>
      <bottom style="thin">
        <color rgb="00CBBF98"/>
      </bottom>
      <diagonal/>
    </border>
    <border>
      <left/>
      <right style="thin">
        <color rgb="00CBBF98"/>
      </right>
      <top style="thin">
        <color rgb="00CBBF98"/>
      </top>
      <bottom style="thin">
        <color rgb="00CBBF98"/>
      </bottom>
      <diagonal/>
    </border>
  </borders>
  <cellStyleXfs count="1">
    <xf numFmtId="0" fontId="0" fillId="0" borderId="0"/>
  </cellStyleXfs>
  <cellXfs count="50">
    <xf numFmtId="0" fontId="0" fillId="0" borderId="0" pivotButton="0" quotePrefix="0" xfId="0"/>
    <xf numFmtId="0" fontId="1" fillId="2" borderId="0" applyAlignment="1" pivotButton="0" quotePrefix="0" xfId="0">
      <alignment horizontal="center" vertical="center" wrapText="1" readingOrder="1"/>
    </xf>
    <xf numFmtId="0" fontId="0" fillId="2" borderId="0" pivotButton="0" quotePrefix="0" xfId="0"/>
    <xf numFmtId="0" fontId="2" fillId="3" borderId="0" applyAlignment="1" pivotButton="0" quotePrefix="0" xfId="0">
      <alignment horizontal="center" vertical="center" wrapText="1" readingOrder="1"/>
    </xf>
    <xf numFmtId="0" fontId="0" fillId="3" borderId="0" pivotButton="0" quotePrefix="0" xfId="0"/>
    <xf numFmtId="0" fontId="5" fillId="5" borderId="1" applyAlignment="1" pivotButton="0" quotePrefix="0" xfId="0">
      <alignment horizontal="left" vertical="center" wrapText="1" readingOrder="1"/>
    </xf>
    <xf numFmtId="0" fontId="0" fillId="5" borderId="1" pivotButton="0" quotePrefix="0" xfId="0"/>
    <xf numFmtId="0" fontId="9" fillId="3" borderId="2" applyAlignment="1" pivotButton="0" quotePrefix="0" xfId="0">
      <alignment horizontal="center" vertical="center" wrapText="1" readingOrder="1"/>
    </xf>
    <xf numFmtId="0" fontId="0" fillId="3" borderId="2" pivotButton="0" quotePrefix="0" xfId="0"/>
    <xf numFmtId="0" fontId="11" fillId="5" borderId="2" applyAlignment="1" pivotButton="0" quotePrefix="0" xfId="0">
      <alignment horizontal="center" vertical="center" wrapText="1" readingOrder="1"/>
    </xf>
    <xf numFmtId="0" fontId="0" fillId="5" borderId="2" pivotButton="0" quotePrefix="0" xfId="0"/>
    <xf numFmtId="0" fontId="3" fillId="2" borderId="1" applyAlignment="1" pivotButton="0" quotePrefix="0" xfId="0">
      <alignment horizontal="center" vertical="center" wrapText="1" readingOrder="1"/>
    </xf>
    <xf numFmtId="0" fontId="6" fillId="0" borderId="1" applyAlignment="1" pivotButton="0" quotePrefix="0" xfId="0">
      <alignment horizontal="left" vertical="center" wrapText="1" readingOrder="1"/>
    </xf>
    <xf numFmtId="0" fontId="0" fillId="0" borderId="1" pivotButton="0" quotePrefix="0" xfId="0"/>
    <xf numFmtId="1" fontId="4" fillId="4" borderId="1" applyAlignment="1" applyProtection="1" pivotButton="0" quotePrefix="0" xfId="0">
      <alignment horizontal="center" vertical="center" wrapText="1" readingOrder="1"/>
      <protection locked="0" hidden="0"/>
    </xf>
    <xf numFmtId="0" fontId="7" fillId="0" borderId="1" applyAlignment="1" pivotButton="0" quotePrefix="0" xfId="0">
      <alignment horizontal="center" vertical="center" wrapText="1" readingOrder="1"/>
    </xf>
    <xf numFmtId="164" fontId="10" fillId="2" borderId="3" applyAlignment="1" pivotButton="0" quotePrefix="0" xfId="0">
      <alignment horizontal="center" vertical="center" wrapText="1" readingOrder="1"/>
    </xf>
    <xf numFmtId="0" fontId="0" fillId="2" borderId="3" pivotButton="0" quotePrefix="0" xfId="0"/>
    <xf numFmtId="1" fontId="12" fillId="6" borderId="3" applyAlignment="1" pivotButton="0" quotePrefix="0" xfId="0">
      <alignment horizontal="center" vertical="center" wrapText="1" readingOrder="1"/>
    </xf>
    <xf numFmtId="0" fontId="0" fillId="6" borderId="3" pivotButton="0" quotePrefix="0" xfId="0"/>
    <xf numFmtId="164" fontId="12" fillId="6" borderId="3" applyAlignment="1" pivotButton="0" quotePrefix="0" xfId="0">
      <alignment horizontal="center" vertical="center" wrapText="1" readingOrder="1"/>
    </xf>
    <xf numFmtId="0" fontId="4" fillId="4" borderId="1" applyAlignment="1" applyProtection="1" pivotButton="0" quotePrefix="0" xfId="0">
      <alignment horizontal="center" vertical="center" wrapText="1" readingOrder="1"/>
      <protection locked="0" hidden="0"/>
    </xf>
    <xf numFmtId="2" fontId="4" fillId="4" borderId="1" applyAlignment="1" applyProtection="1" pivotButton="0" quotePrefix="0" xfId="0">
      <alignment horizontal="center" vertical="center" wrapText="1" readingOrder="1"/>
      <protection locked="0" hidden="0"/>
    </xf>
    <xf numFmtId="9" fontId="4" fillId="4" borderId="1" applyAlignment="1" applyProtection="1" pivotButton="0" quotePrefix="0" xfId="0">
      <alignment horizontal="center" vertical="center" wrapText="1" readingOrder="1"/>
      <protection locked="0" hidden="0"/>
    </xf>
    <xf numFmtId="164" fontId="4" fillId="4" borderId="1" applyAlignment="1" applyProtection="1" pivotButton="0" quotePrefix="0" xfId="0">
      <alignment horizontal="center" vertical="center" wrapText="1" readingOrder="1"/>
      <protection locked="0" hidden="0"/>
    </xf>
    <xf numFmtId="0" fontId="6" fillId="0" borderId="1" applyAlignment="1" pivotButton="0" quotePrefix="0" xfId="0">
      <alignment horizontal="center" vertical="center" wrapText="1" readingOrder="1"/>
    </xf>
    <xf numFmtId="164" fontId="6" fillId="6" borderId="1" applyAlignment="1" pivotButton="0" quotePrefix="0" xfId="0">
      <alignment horizontal="center" vertical="center" wrapText="1" readingOrder="1"/>
    </xf>
    <xf numFmtId="165" fontId="6" fillId="6" borderId="1" applyAlignment="1" pivotButton="0" quotePrefix="0" xfId="0">
      <alignment horizontal="center" vertical="center" wrapText="1" readingOrder="1"/>
    </xf>
    <xf numFmtId="0" fontId="0" fillId="0" borderId="6" pivotButton="0" quotePrefix="0" xfId="0"/>
    <xf numFmtId="0" fontId="0" fillId="0" borderId="7" pivotButton="0" quotePrefix="0" xfId="0"/>
    <xf numFmtId="0" fontId="6" fillId="6" borderId="1" applyAlignment="1" pivotButton="0" quotePrefix="0" xfId="0">
      <alignment horizontal="center" vertical="center" wrapText="1" readingOrder="1"/>
    </xf>
    <xf numFmtId="0" fontId="8" fillId="6" borderId="1" applyAlignment="1" pivotButton="0" quotePrefix="0" xfId="0">
      <alignment horizontal="center" vertical="center" wrapText="1" readingOrder="1"/>
    </xf>
    <xf numFmtId="1" fontId="6" fillId="6" borderId="1" applyAlignment="1" pivotButton="0" quotePrefix="0" xfId="0">
      <alignment horizontal="center" vertical="center" wrapText="1" readingOrder="1"/>
    </xf>
    <xf numFmtId="1" fontId="8" fillId="0" borderId="1" applyAlignment="1" pivotButton="0" quotePrefix="0" xfId="0">
      <alignment horizontal="left" vertical="center" wrapText="1" readingOrder="1"/>
    </xf>
    <xf numFmtId="0" fontId="4" fillId="4" borderId="1" applyAlignment="1" applyProtection="1" pivotButton="0" quotePrefix="0" xfId="0">
      <alignment horizontal="left" vertical="center" wrapText="1" readingOrder="1"/>
      <protection locked="0" hidden="0"/>
    </xf>
    <xf numFmtId="3" fontId="4" fillId="4" borderId="1" applyAlignment="1" applyProtection="1" pivotButton="0" quotePrefix="0" xfId="0">
      <alignment horizontal="center" vertical="center" wrapText="1" readingOrder="1"/>
      <protection locked="0" hidden="0"/>
    </xf>
    <xf numFmtId="2" fontId="8" fillId="6" borderId="1" applyAlignment="1" pivotButton="0" quotePrefix="0" xfId="0">
      <alignment horizontal="center" vertical="center" wrapText="1" readingOrder="1"/>
    </xf>
    <xf numFmtId="9" fontId="8" fillId="6" borderId="1" applyAlignment="1" pivotButton="0" quotePrefix="0" xfId="0">
      <alignment horizontal="center" vertical="center" wrapText="1" readingOrder="1"/>
    </xf>
    <xf numFmtId="164" fontId="8" fillId="6" borderId="1" applyAlignment="1" pivotButton="0" quotePrefix="0" xfId="0">
      <alignment horizontal="center" vertical="center" wrapText="1" readingOrder="1"/>
    </xf>
    <xf numFmtId="1" fontId="8" fillId="6" borderId="1" applyAlignment="1" pivotButton="0" quotePrefix="0" xfId="0">
      <alignment horizontal="center" vertical="center" wrapText="1" readingOrder="1"/>
    </xf>
    <xf numFmtId="0" fontId="6" fillId="7" borderId="1" applyAlignment="1" pivotButton="0" quotePrefix="0" xfId="0">
      <alignment horizontal="left" vertical="center" wrapText="1" readingOrder="1"/>
    </xf>
    <xf numFmtId="0" fontId="0" fillId="7" borderId="0" pivotButton="0" quotePrefix="0" xfId="0"/>
    <xf numFmtId="164" fontId="6" fillId="7" borderId="1" applyAlignment="1" pivotButton="0" quotePrefix="0" xfId="0">
      <alignment horizontal="center" vertical="center" wrapText="1" readingOrder="1"/>
    </xf>
    <xf numFmtId="0" fontId="8" fillId="7" borderId="1" applyAlignment="1" pivotButton="0" quotePrefix="0" xfId="0">
      <alignment horizontal="center" vertical="center" wrapText="1" readingOrder="1"/>
    </xf>
    <xf numFmtId="0" fontId="8" fillId="0" borderId="1" applyAlignment="1" pivotButton="0" quotePrefix="0" xfId="0">
      <alignment horizontal="left" vertical="center" wrapText="1" readingOrder="1"/>
    </xf>
    <xf numFmtId="0" fontId="3" fillId="2" borderId="1" applyAlignment="1" pivotButton="0" quotePrefix="0" xfId="0">
      <alignment horizontal="left" vertical="center" wrapText="1" readingOrder="1"/>
    </xf>
    <xf numFmtId="0" fontId="8" fillId="6" borderId="1" applyAlignment="1" pivotButton="0" quotePrefix="0" xfId="0">
      <alignment horizontal="left" vertical="center" wrapText="1" readingOrder="1"/>
    </xf>
    <xf numFmtId="0" fontId="8" fillId="2" borderId="1" applyAlignment="1" pivotButton="0" quotePrefix="0" xfId="0">
      <alignment horizontal="left" vertical="center" wrapText="1" readingOrder="1"/>
    </xf>
    <xf numFmtId="0" fontId="13" fillId="0" borderId="0" applyAlignment="1" pivotButton="0" quotePrefix="0" xfId="0">
      <alignment horizontal="left" vertical="center" wrapText="1" readingOrder="1"/>
    </xf>
    <xf numFmtId="0" fontId="8" fillId="0" borderId="0" applyAlignment="1" pivotButton="0" quotePrefix="0" xfId="0">
      <alignment horizontal="left" vertical="center" wrapText="1" readingOrder="1"/>
    </xf>
  </cellXfs>
  <cellStyles count="1">
    <cellStyle name="Normal" xfId="0" builtinId="0" hidden="0"/>
  </cellStyles>
  <dxfs count="1">
    <dxf>
      <font>
        <name val="Tahoma"/>
        <color rgb="001B2B30"/>
      </font>
      <fill>
        <patternFill patternType="solid">
          <fgColor rgb="00DDEBF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Demand current per phase (A)</a:t>
            </a:r>
          </a:p>
        </rich>
      </tx>
    </title>
    <plotArea>
      <barChart>
        <barDir val="col"/>
        <grouping val="clustered"/>
        <ser>
          <idx val="0"/>
          <order val="0"/>
          <spPr>
            <a:solidFill xmlns:a="http://schemas.openxmlformats.org/drawingml/2006/main">
              <a:srgbClr val="0B3C49"/>
            </a:solidFill>
            <a:ln xmlns:a="http://schemas.openxmlformats.org/drawingml/2006/main">
              <a:solidFill>
                <a:srgbClr val="0B3C49"/>
              </a:solidFill>
              <a:prstDash val="solid"/>
            </a:ln>
          </spPr>
          <cat>
            <numRef>
              <f>'Villa Load Schedule'!$F$8:$F$10</f>
            </numRef>
          </cat>
          <val>
            <numRef>
              <f>'Villa Load Schedule'!$G$8:$G$10</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5</col>
      <colOff>0</colOff>
      <row>60</row>
      <rowOff>0</rowOff>
    </from>
    <ext cx="4320000" cy="252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00D4A72C"/>
    <outlinePr summaryBelow="1" summaryRight="1"/>
    <pageSetUpPr fitToPage="1"/>
  </sheetPr>
  <dimension ref="A1:U58"/>
  <sheetViews>
    <sheetView showGridLines="0" rightToLeft="0" zoomScale="100" workbookViewId="0">
      <pane xSplit="2" ySplit="17" topLeftCell="C18"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22" customWidth="1" min="3" max="3"/>
    <col width="7" customWidth="1" min="4" max="4"/>
    <col width="9" customWidth="1" min="5" max="5"/>
    <col width="10" customWidth="1" min="6" max="6"/>
    <col width="9" customWidth="1" min="7" max="7"/>
    <col width="10" customWidth="1" min="8" max="8"/>
    <col width="7" customWidth="1" min="9" max="9"/>
    <col width="8" customWidth="1" min="10" max="10"/>
    <col width="10" customWidth="1" min="11" max="11"/>
    <col width="9" customWidth="1" min="12" max="12"/>
    <col width="9" customWidth="1" min="13" max="13"/>
    <col width="10" customWidth="1" min="14" max="14"/>
    <col width="3" customWidth="1" min="15" max="15"/>
    <col width="24" customWidth="1" min="16" max="16"/>
    <col width="8" customWidth="1" min="17" max="17"/>
    <col width="9" customWidth="1" min="18" max="18"/>
    <col width="3" customWidth="1" min="19" max="19"/>
    <col width="9" customWidth="1" min="20" max="20"/>
    <col width="9" customWidth="1" min="21" max="21"/>
  </cols>
  <sheetData>
    <row r="1" ht="36" customHeight="1">
      <c r="A1" s="1" t="inlineStr">
        <is>
          <t>Villa Load Schedule: Distribution Board, Breakers, Cables and Phase Balance</t>
        </is>
      </c>
      <c r="B1" s="2" t="n"/>
      <c r="C1" s="2" t="n"/>
      <c r="D1" s="2" t="n"/>
      <c r="E1" s="2" t="n"/>
      <c r="F1" s="2" t="n"/>
      <c r="G1" s="2" t="n"/>
      <c r="H1" s="2" t="n"/>
      <c r="I1" s="2" t="n"/>
      <c r="J1" s="2" t="n"/>
      <c r="K1" s="2" t="n"/>
      <c r="L1" s="2" t="n"/>
      <c r="M1" s="2" t="n"/>
      <c r="N1" s="2" t="n"/>
    </row>
    <row r="2" ht="18" customHeight="1">
      <c r="A2" s="3" t="inlineStr">
        <is>
          <t>Enter the villa circuits and loads; the sheet computes each circuit current, breaker and cable, the three phase loads and the main breaker</t>
        </is>
      </c>
      <c r="B2" s="4" t="n"/>
      <c r="C2" s="4" t="n"/>
      <c r="D2" s="4" t="n"/>
      <c r="E2" s="4" t="n"/>
      <c r="F2" s="4" t="n"/>
      <c r="G2" s="4" t="n"/>
      <c r="H2" s="4" t="n"/>
      <c r="I2" s="4" t="n"/>
      <c r="J2" s="4" t="n"/>
      <c r="K2" s="4" t="n"/>
      <c r="L2" s="4" t="n"/>
      <c r="M2" s="4" t="n"/>
      <c r="N2" s="4" t="n"/>
    </row>
    <row r="4" ht="18" customHeight="1">
      <c r="A4" s="5" t="inlineStr">
        <is>
          <t>Settings</t>
        </is>
      </c>
      <c r="B4" s="6" t="n"/>
      <c r="C4" s="6" t="n"/>
      <c r="D4" s="6" t="n"/>
      <c r="F4" s="7" t="inlineStr">
        <is>
          <t>Maximum demand (kW)</t>
        </is>
      </c>
      <c r="G4" s="8" t="n"/>
      <c r="H4" s="8" t="n"/>
      <c r="I4" s="9" t="inlineStr">
        <is>
          <t>Main breaker 3-phase (A)</t>
        </is>
      </c>
      <c r="J4" s="10" t="n"/>
      <c r="K4" s="10" t="n"/>
      <c r="L4" s="9" t="inlineStr">
        <is>
          <t>Connected load (kW)</t>
        </is>
      </c>
      <c r="M4" s="10" t="n"/>
      <c r="N4" s="10" t="n"/>
      <c r="P4" s="11" t="inlineStr">
        <is>
          <t>Load type</t>
        </is>
      </c>
      <c r="Q4" s="11" t="inlineStr">
        <is>
          <t>PF</t>
        </is>
      </c>
      <c r="R4" s="11" t="inlineStr">
        <is>
          <t>Demand</t>
        </is>
      </c>
      <c r="T4" s="11" t="inlineStr">
        <is>
          <t>Breaker A</t>
        </is>
      </c>
      <c r="U4" s="11" t="inlineStr">
        <is>
          <t>Cable mm²</t>
        </is>
      </c>
    </row>
    <row r="5" ht="34" customHeight="1">
      <c r="A5" s="12" t="inlineStr">
        <is>
          <t>Phase voltage (V)</t>
        </is>
      </c>
      <c r="B5" s="13" t="n"/>
      <c r="C5" s="14" t="n">
        <v>230</v>
      </c>
      <c r="D5" s="15" t="inlineStr">
        <is>
          <t>V</t>
        </is>
      </c>
      <c r="F5" s="16">
        <f>$H$58*(1+$C$7)</f>
        <v/>
      </c>
      <c r="G5" s="17" t="n"/>
      <c r="H5" s="17" t="n"/>
      <c r="I5" s="18">
        <f>IF(MAX(G8:G10)*(1+$C$7)&lt;=0,0,IF(MAX(G8:G10)*(1+$C$7)&gt;MAX($T$5:$T$15),"—",INDEX($T$5:$T$15,COUNTIF($T$5:$T$15,"&lt;"&amp;MAX(G8:G10)*(1+$C$7))+1)))</f>
        <v/>
      </c>
      <c r="J5" s="19" t="n"/>
      <c r="K5" s="19" t="n"/>
      <c r="L5" s="20">
        <f>$F$58</f>
        <v/>
      </c>
      <c r="M5" s="19" t="n"/>
      <c r="N5" s="19" t="n"/>
      <c r="P5" s="21" t="inlineStr">
        <is>
          <t>Lighting</t>
        </is>
      </c>
      <c r="Q5" s="22" t="n">
        <v>0.95</v>
      </c>
      <c r="R5" s="23" t="n">
        <v>0.8</v>
      </c>
      <c r="T5" s="14" t="n">
        <v>6</v>
      </c>
      <c r="U5" s="24" t="n">
        <v>1.5</v>
      </c>
    </row>
    <row r="6">
      <c r="A6" s="12" t="inlineStr">
        <is>
          <t>Line voltage (V)</t>
        </is>
      </c>
      <c r="B6" s="13" t="n"/>
      <c r="C6" s="14" t="n">
        <v>400</v>
      </c>
      <c r="D6" s="15" t="inlineStr">
        <is>
          <t>V</t>
        </is>
      </c>
      <c r="P6" s="21" t="inlineStr">
        <is>
          <t>General sockets</t>
        </is>
      </c>
      <c r="Q6" s="22" t="n">
        <v>0.9</v>
      </c>
      <c r="R6" s="23" t="n">
        <v>0.4</v>
      </c>
      <c r="T6" s="14" t="n">
        <v>10</v>
      </c>
      <c r="U6" s="24" t="n">
        <v>1.5</v>
      </c>
    </row>
    <row r="7">
      <c r="A7" s="12" t="inlineStr">
        <is>
          <t>Future growth</t>
        </is>
      </c>
      <c r="B7" s="13" t="n"/>
      <c r="C7" s="23" t="n">
        <v>0.15</v>
      </c>
      <c r="F7" s="11" t="inlineStr">
        <is>
          <t>Phase</t>
        </is>
      </c>
      <c r="G7" s="11" t="inlineStr">
        <is>
          <t>Demand current (A)</t>
        </is>
      </c>
      <c r="H7" s="2" t="n"/>
      <c r="P7" s="21" t="inlineStr">
        <is>
          <t>Split AC</t>
        </is>
      </c>
      <c r="Q7" s="22" t="n">
        <v>0.85</v>
      </c>
      <c r="R7" s="23" t="n">
        <v>0.9</v>
      </c>
      <c r="T7" s="14" t="n">
        <v>16</v>
      </c>
      <c r="U7" s="24" t="n">
        <v>2.5</v>
      </c>
    </row>
    <row r="8">
      <c r="A8" s="12" t="inlineStr">
        <is>
          <t>Spare ways in the board</t>
        </is>
      </c>
      <c r="B8" s="13" t="n"/>
      <c r="C8" s="23" t="n">
        <v>0.2</v>
      </c>
      <c r="F8" s="25" t="inlineStr">
        <is>
          <t>L1</t>
        </is>
      </c>
      <c r="G8" s="26">
        <f>SUMIF($J$18:$J$57,"L1",$N$18:$N$57)+SUMIF($J$18:$J$57,"3P",$N$18:$N$57)</f>
        <v/>
      </c>
      <c r="H8" s="13" t="n"/>
      <c r="P8" s="21" t="inlineStr">
        <is>
          <t>Water heater</t>
        </is>
      </c>
      <c r="Q8" s="22" t="n">
        <v>1</v>
      </c>
      <c r="R8" s="23" t="n">
        <v>0.6</v>
      </c>
      <c r="T8" s="14" t="n">
        <v>20</v>
      </c>
      <c r="U8" s="24" t="n">
        <v>4</v>
      </c>
    </row>
    <row r="9">
      <c r="F9" s="25" t="inlineStr">
        <is>
          <t>L2</t>
        </is>
      </c>
      <c r="G9" s="26">
        <f>SUMIF($J$18:$J$57,"L2",$N$18:$N$57)+SUMIF($J$18:$J$57,"3P",$N$18:$N$57)</f>
        <v/>
      </c>
      <c r="H9" s="13" t="n"/>
      <c r="P9" s="21" t="inlineStr">
        <is>
          <t>Kitchen appliances</t>
        </is>
      </c>
      <c r="Q9" s="22" t="n">
        <v>0.95</v>
      </c>
      <c r="R9" s="23" t="n">
        <v>0.5</v>
      </c>
      <c r="T9" s="14" t="n">
        <v>25</v>
      </c>
      <c r="U9" s="24" t="n">
        <v>4</v>
      </c>
    </row>
    <row r="10">
      <c r="F10" s="25" t="inlineStr">
        <is>
          <t>L3</t>
        </is>
      </c>
      <c r="G10" s="26">
        <f>SUMIF($J$18:$J$57,"L3",$N$18:$N$57)+SUMIF($J$18:$J$57,"3P",$N$18:$N$57)</f>
        <v/>
      </c>
      <c r="H10" s="13" t="n"/>
      <c r="P10" s="21" t="inlineStr">
        <is>
          <t>Washer / dryer</t>
        </is>
      </c>
      <c r="Q10" s="22" t="n">
        <v>0.9</v>
      </c>
      <c r="R10" s="23" t="n">
        <v>0.5</v>
      </c>
      <c r="T10" s="14" t="n">
        <v>32</v>
      </c>
      <c r="U10" s="24" t="n">
        <v>6</v>
      </c>
    </row>
    <row r="11">
      <c r="F11" s="25" t="inlineStr">
        <is>
          <t>Imbalance</t>
        </is>
      </c>
      <c r="I11" s="27">
        <f>IFERROR((MAX(G8:G10)-MIN(G8:G10))/AVERAGE(G8:G10),0)</f>
        <v/>
      </c>
      <c r="J11" s="28" t="n"/>
      <c r="K11" s="29" t="n"/>
      <c r="L11" s="30">
        <f>IF(I11&lt;=0.1,"Good",IF(I11&lt;=0.2,"Acceptable","Rebalance"))</f>
        <v/>
      </c>
      <c r="M11" s="28" t="n"/>
      <c r="N11" s="29" t="n"/>
      <c r="P11" s="21" t="inlineStr">
        <is>
          <t>Pump</t>
        </is>
      </c>
      <c r="Q11" s="22" t="n">
        <v>0.85</v>
      </c>
      <c r="R11" s="23" t="n">
        <v>0.7</v>
      </c>
      <c r="T11" s="14" t="n">
        <v>40</v>
      </c>
      <c r="U11" s="24" t="n">
        <v>10</v>
      </c>
    </row>
    <row r="12">
      <c r="F12" s="25" t="inlineStr">
        <is>
          <t>Apparent power (kVA)</t>
        </is>
      </c>
      <c r="I12" s="26">
        <f>IFERROR(SQRT(3)*$C$6*MAX(G8:G10)*(1+$C$7)/1000,"")</f>
        <v/>
      </c>
      <c r="J12" s="28" t="n"/>
      <c r="K12" s="29" t="n"/>
      <c r="L12" s="31" t="inlineStr"/>
      <c r="M12" s="28" t="n"/>
      <c r="N12" s="29" t="n"/>
      <c r="P12" s="21" t="inlineStr">
        <is>
          <t>EV charger</t>
        </is>
      </c>
      <c r="Q12" s="22" t="n">
        <v>0.98</v>
      </c>
      <c r="R12" s="23" t="n">
        <v>0.8</v>
      </c>
      <c r="T12" s="14" t="n">
        <v>50</v>
      </c>
      <c r="U12" s="24" t="n">
        <v>10</v>
      </c>
    </row>
    <row r="13">
      <c r="F13" s="25" t="inlineStr">
        <is>
          <t>Circuits / board ways</t>
        </is>
      </c>
      <c r="I13" s="32">
        <f>COUNTA(B18:B57)</f>
        <v/>
      </c>
      <c r="J13" s="28" t="n"/>
      <c r="K13" s="29" t="n"/>
      <c r="L13" s="32">
        <f>ROUNDUP(I13*(1+$C$8),0)</f>
        <v/>
      </c>
      <c r="M13" s="28" t="n"/>
      <c r="N13" s="29" t="n"/>
      <c r="P13" s="21" t="inlineStr">
        <is>
          <t>Other</t>
        </is>
      </c>
      <c r="Q13" s="22" t="n">
        <v>0.9</v>
      </c>
      <c r="R13" s="23" t="n">
        <v>0.6</v>
      </c>
      <c r="T13" s="14" t="n">
        <v>63</v>
      </c>
      <c r="U13" s="24" t="n">
        <v>16</v>
      </c>
    </row>
    <row r="14">
      <c r="T14" s="14" t="n">
        <v>80</v>
      </c>
      <c r="U14" s="24" t="n">
        <v>25</v>
      </c>
    </row>
    <row r="15">
      <c r="T15" s="14" t="n">
        <v>100</v>
      </c>
      <c r="U15" s="24" t="n">
        <v>35</v>
      </c>
    </row>
    <row r="16" ht="22" customHeight="1">
      <c r="A16" s="5" t="inlineStr">
        <is>
          <t>Circuit schedule</t>
        </is>
      </c>
      <c r="B16" s="6" t="n"/>
      <c r="C16" s="6" t="n"/>
      <c r="D16" s="6" t="n"/>
      <c r="E16" s="6" t="n"/>
      <c r="F16" s="6" t="n"/>
      <c r="G16" s="6" t="n"/>
      <c r="H16" s="6" t="n"/>
      <c r="I16" s="6" t="n"/>
      <c r="J16" s="6" t="n"/>
      <c r="K16" s="6" t="n"/>
      <c r="L16" s="6" t="n"/>
      <c r="M16" s="6" t="n"/>
      <c r="N16" s="6" t="n"/>
    </row>
    <row r="17" ht="36" customHeight="1">
      <c r="A17" s="11" t="inlineStr">
        <is>
          <t>#</t>
        </is>
      </c>
      <c r="B17" s="11" t="inlineStr">
        <is>
          <t>Circuit</t>
        </is>
      </c>
      <c r="C17" s="11" t="inlineStr">
        <is>
          <t>Type</t>
        </is>
      </c>
      <c r="D17" s="11" t="inlineStr">
        <is>
          <t>Qty</t>
        </is>
      </c>
      <c r="E17" s="11" t="inlineStr">
        <is>
          <t>W each</t>
        </is>
      </c>
      <c r="F17" s="11" t="inlineStr">
        <is>
          <t>Connected kW</t>
        </is>
      </c>
      <c r="G17" s="11" t="inlineStr">
        <is>
          <t>Demand</t>
        </is>
      </c>
      <c r="H17" s="11" t="inlineStr">
        <is>
          <t>Demand kW</t>
        </is>
      </c>
      <c r="I17" s="11" t="inlineStr">
        <is>
          <t>PF</t>
        </is>
      </c>
      <c r="J17" s="11" t="inlineStr">
        <is>
          <t>Phase</t>
        </is>
      </c>
      <c r="K17" s="11" t="inlineStr">
        <is>
          <t>Current A</t>
        </is>
      </c>
      <c r="L17" s="11" t="inlineStr">
        <is>
          <t>Breaker A</t>
        </is>
      </c>
      <c r="M17" s="11" t="inlineStr">
        <is>
          <t>Cable mm²</t>
        </is>
      </c>
      <c r="N17" s="11" t="inlineStr">
        <is>
          <t>Demand A</t>
        </is>
      </c>
    </row>
    <row r="18">
      <c r="A18" s="33">
        <f>IF(B18="","",ROW()-17)</f>
        <v/>
      </c>
      <c r="B18" s="34" t="inlineStr">
        <is>
          <t>Ground floor lighting</t>
        </is>
      </c>
      <c r="C18" s="21" t="inlineStr">
        <is>
          <t>Lighting</t>
        </is>
      </c>
      <c r="D18" s="14" t="n">
        <v>20</v>
      </c>
      <c r="E18" s="35" t="n">
        <v>15</v>
      </c>
      <c r="F18" s="36">
        <f>IF(OR(D18="",E18=""),"",D18*E18/1000)</f>
        <v/>
      </c>
      <c r="G18" s="37">
        <f>IFERROR(INDEX($R$5:$R$13,MATCH(C18,$P$5:$P$13,0)),"")</f>
        <v/>
      </c>
      <c r="H18" s="36">
        <f>IF(OR(F18="",G18=""),"",F18*G18)</f>
        <v/>
      </c>
      <c r="I18" s="36">
        <f>IFERROR(INDEX($Q$5:$Q$13,MATCH(C18,$P$5:$P$13,0)),"")</f>
        <v/>
      </c>
      <c r="J18" s="21" t="inlineStr">
        <is>
          <t>L3</t>
        </is>
      </c>
      <c r="K18" s="38">
        <f>IF(OR(F18="",I18=""),"",IF(J18="3P",F18*1000/(SQRT(3)*$C$6*I18),F18*1000/($C$5*I18)))</f>
        <v/>
      </c>
      <c r="L18" s="39">
        <f>IF(K18="","",IF(K18&lt;=0,0,IF(K18&gt;MAX($T$5:$T$15),"—",INDEX($T$5:$T$15,COUNTIF($T$5:$T$15,"&lt;"&amp;K18)+1))))</f>
        <v/>
      </c>
      <c r="M18" s="38">
        <f>IF(ISNUMBER(L18),INDEX($U$5:$U$15,MATCH(L18,$T$5:$T$15,0)),"")</f>
        <v/>
      </c>
      <c r="N18" s="38">
        <f>IF(OR(H18="",I18=""),"",IF(J18="3P",H18*1000/(SQRT(3)*$C$6*I18),H18*1000/($C$5*I18)))</f>
        <v/>
      </c>
    </row>
    <row r="19">
      <c r="A19" s="33">
        <f>IF(B19="","",ROW()-17)</f>
        <v/>
      </c>
      <c r="B19" s="34" t="inlineStr">
        <is>
          <t>First floor lighting</t>
        </is>
      </c>
      <c r="C19" s="21" t="inlineStr">
        <is>
          <t>Lighting</t>
        </is>
      </c>
      <c r="D19" s="14" t="n">
        <v>18</v>
      </c>
      <c r="E19" s="35" t="n">
        <v>15</v>
      </c>
      <c r="F19" s="36">
        <f>IF(OR(D19="",E19=""),"",D19*E19/1000)</f>
        <v/>
      </c>
      <c r="G19" s="37">
        <f>IFERROR(INDEX($R$5:$R$13,MATCH(C19,$P$5:$P$13,0)),"")</f>
        <v/>
      </c>
      <c r="H19" s="36">
        <f>IF(OR(F19="",G19=""),"",F19*G19)</f>
        <v/>
      </c>
      <c r="I19" s="36">
        <f>IFERROR(INDEX($Q$5:$Q$13,MATCH(C19,$P$5:$P$13,0)),"")</f>
        <v/>
      </c>
      <c r="J19" s="21" t="inlineStr">
        <is>
          <t>L3</t>
        </is>
      </c>
      <c r="K19" s="38">
        <f>IF(OR(F19="",I19=""),"",IF(J19="3P",F19*1000/(SQRT(3)*$C$6*I19),F19*1000/($C$5*I19)))</f>
        <v/>
      </c>
      <c r="L19" s="39">
        <f>IF(K19="","",IF(K19&lt;=0,0,IF(K19&gt;MAX($T$5:$T$15),"—",INDEX($T$5:$T$15,COUNTIF($T$5:$T$15,"&lt;"&amp;K19)+1))))</f>
        <v/>
      </c>
      <c r="M19" s="38">
        <f>IF(ISNUMBER(L19),INDEX($U$5:$U$15,MATCH(L19,$T$5:$T$15,0)),"")</f>
        <v/>
      </c>
      <c r="N19" s="38">
        <f>IF(OR(H19="",I19=""),"",IF(J19="3P",H19*1000/(SQRT(3)*$C$6*I19),H19*1000/($C$5*I19)))</f>
        <v/>
      </c>
    </row>
    <row r="20">
      <c r="A20" s="33">
        <f>IF(B20="","",ROW()-17)</f>
        <v/>
      </c>
      <c r="B20" s="34" t="inlineStr">
        <is>
          <t>Outdoor &amp; garden lighting</t>
        </is>
      </c>
      <c r="C20" s="21" t="inlineStr">
        <is>
          <t>Lighting</t>
        </is>
      </c>
      <c r="D20" s="14" t="n">
        <v>12</v>
      </c>
      <c r="E20" s="35" t="n">
        <v>20</v>
      </c>
      <c r="F20" s="36">
        <f>IF(OR(D20="",E20=""),"",D20*E20/1000)</f>
        <v/>
      </c>
      <c r="G20" s="37">
        <f>IFERROR(INDEX($R$5:$R$13,MATCH(C20,$P$5:$P$13,0)),"")</f>
        <v/>
      </c>
      <c r="H20" s="36">
        <f>IF(OR(F20="",G20=""),"",F20*G20)</f>
        <v/>
      </c>
      <c r="I20" s="36">
        <f>IFERROR(INDEX($Q$5:$Q$13,MATCH(C20,$P$5:$P$13,0)),"")</f>
        <v/>
      </c>
      <c r="J20" s="21" t="inlineStr">
        <is>
          <t>L3</t>
        </is>
      </c>
      <c r="K20" s="38">
        <f>IF(OR(F20="",I20=""),"",IF(J20="3P",F20*1000/(SQRT(3)*$C$6*I20),F20*1000/($C$5*I20)))</f>
        <v/>
      </c>
      <c r="L20" s="39">
        <f>IF(K20="","",IF(K20&lt;=0,0,IF(K20&gt;MAX($T$5:$T$15),"—",INDEX($T$5:$T$15,COUNTIF($T$5:$T$15,"&lt;"&amp;K20)+1))))</f>
        <v/>
      </c>
      <c r="M20" s="38">
        <f>IF(ISNUMBER(L20),INDEX($U$5:$U$15,MATCH(L20,$T$5:$T$15,0)),"")</f>
        <v/>
      </c>
      <c r="N20" s="38">
        <f>IF(OR(H20="",I20=""),"",IF(J20="3P",H20*1000/(SQRT(3)*$C$6*I20),H20*1000/($C$5*I20)))</f>
        <v/>
      </c>
    </row>
    <row r="21">
      <c r="A21" s="33">
        <f>IF(B21="","",ROW()-17)</f>
        <v/>
      </c>
      <c r="B21" s="34" t="inlineStr">
        <is>
          <t>Living &amp; majlis sockets</t>
        </is>
      </c>
      <c r="C21" s="21" t="inlineStr">
        <is>
          <t>General sockets</t>
        </is>
      </c>
      <c r="D21" s="14" t="n">
        <v>8</v>
      </c>
      <c r="E21" s="35" t="n">
        <v>250</v>
      </c>
      <c r="F21" s="36">
        <f>IF(OR(D21="",E21=""),"",D21*E21/1000)</f>
        <v/>
      </c>
      <c r="G21" s="37">
        <f>IFERROR(INDEX($R$5:$R$13,MATCH(C21,$P$5:$P$13,0)),"")</f>
        <v/>
      </c>
      <c r="H21" s="36">
        <f>IF(OR(F21="",G21=""),"",F21*G21)</f>
        <v/>
      </c>
      <c r="I21" s="36">
        <f>IFERROR(INDEX($Q$5:$Q$13,MATCH(C21,$P$5:$P$13,0)),"")</f>
        <v/>
      </c>
      <c r="J21" s="21" t="inlineStr">
        <is>
          <t>L2</t>
        </is>
      </c>
      <c r="K21" s="38">
        <f>IF(OR(F21="",I21=""),"",IF(J21="3P",F21*1000/(SQRT(3)*$C$6*I21),F21*1000/($C$5*I21)))</f>
        <v/>
      </c>
      <c r="L21" s="39">
        <f>IF(K21="","",IF(K21&lt;=0,0,IF(K21&gt;MAX($T$5:$T$15),"—",INDEX($T$5:$T$15,COUNTIF($T$5:$T$15,"&lt;"&amp;K21)+1))))</f>
        <v/>
      </c>
      <c r="M21" s="38">
        <f>IF(ISNUMBER(L21),INDEX($U$5:$U$15,MATCH(L21,$T$5:$T$15,0)),"")</f>
        <v/>
      </c>
      <c r="N21" s="38">
        <f>IF(OR(H21="",I21=""),"",IF(J21="3P",H21*1000/(SQRT(3)*$C$6*I21),H21*1000/($C$5*I21)))</f>
        <v/>
      </c>
    </row>
    <row r="22">
      <c r="A22" s="33">
        <f>IF(B22="","",ROW()-17)</f>
        <v/>
      </c>
      <c r="B22" s="34" t="inlineStr">
        <is>
          <t>Bedroom sockets</t>
        </is>
      </c>
      <c r="C22" s="21" t="inlineStr">
        <is>
          <t>General sockets</t>
        </is>
      </c>
      <c r="D22" s="14" t="n">
        <v>10</v>
      </c>
      <c r="E22" s="35" t="n">
        <v>200</v>
      </c>
      <c r="F22" s="36">
        <f>IF(OR(D22="",E22=""),"",D22*E22/1000)</f>
        <v/>
      </c>
      <c r="G22" s="37">
        <f>IFERROR(INDEX($R$5:$R$13,MATCH(C22,$P$5:$P$13,0)),"")</f>
        <v/>
      </c>
      <c r="H22" s="36">
        <f>IF(OR(F22="",G22=""),"",F22*G22)</f>
        <v/>
      </c>
      <c r="I22" s="36">
        <f>IFERROR(INDEX($Q$5:$Q$13,MATCH(C22,$P$5:$P$13,0)),"")</f>
        <v/>
      </c>
      <c r="J22" s="21" t="inlineStr">
        <is>
          <t>L1</t>
        </is>
      </c>
      <c r="K22" s="38">
        <f>IF(OR(F22="",I22=""),"",IF(J22="3P",F22*1000/(SQRT(3)*$C$6*I22),F22*1000/($C$5*I22)))</f>
        <v/>
      </c>
      <c r="L22" s="39">
        <f>IF(K22="","",IF(K22&lt;=0,0,IF(K22&gt;MAX($T$5:$T$15),"—",INDEX($T$5:$T$15,COUNTIF($T$5:$T$15,"&lt;"&amp;K22)+1))))</f>
        <v/>
      </c>
      <c r="M22" s="38">
        <f>IF(ISNUMBER(L22),INDEX($U$5:$U$15,MATCH(L22,$T$5:$T$15,0)),"")</f>
        <v/>
      </c>
      <c r="N22" s="38">
        <f>IF(OR(H22="",I22=""),"",IF(J22="3P",H22*1000/(SQRT(3)*$C$6*I22),H22*1000/($C$5*I22)))</f>
        <v/>
      </c>
    </row>
    <row r="23">
      <c r="A23" s="33">
        <f>IF(B23="","",ROW()-17)</f>
        <v/>
      </c>
      <c r="B23" s="34" t="inlineStr">
        <is>
          <t>Kitchen sockets</t>
        </is>
      </c>
      <c r="C23" s="21" t="inlineStr">
        <is>
          <t>General sockets</t>
        </is>
      </c>
      <c r="D23" s="14" t="n">
        <v>6</v>
      </c>
      <c r="E23" s="35" t="n">
        <v>500</v>
      </c>
      <c r="F23" s="36">
        <f>IF(OR(D23="",E23=""),"",D23*E23/1000)</f>
        <v/>
      </c>
      <c r="G23" s="37">
        <f>IFERROR(INDEX($R$5:$R$13,MATCH(C23,$P$5:$P$13,0)),"")</f>
        <v/>
      </c>
      <c r="H23" s="36">
        <f>IF(OR(F23="",G23=""),"",F23*G23)</f>
        <v/>
      </c>
      <c r="I23" s="36">
        <f>IFERROR(INDEX($Q$5:$Q$13,MATCH(C23,$P$5:$P$13,0)),"")</f>
        <v/>
      </c>
      <c r="J23" s="21" t="inlineStr">
        <is>
          <t>L1</t>
        </is>
      </c>
      <c r="K23" s="38">
        <f>IF(OR(F23="",I23=""),"",IF(J23="3P",F23*1000/(SQRT(3)*$C$6*I23),F23*1000/($C$5*I23)))</f>
        <v/>
      </c>
      <c r="L23" s="39">
        <f>IF(K23="","",IF(K23&lt;=0,0,IF(K23&gt;MAX($T$5:$T$15),"—",INDEX($T$5:$T$15,COUNTIF($T$5:$T$15,"&lt;"&amp;K23)+1))))</f>
        <v/>
      </c>
      <c r="M23" s="38">
        <f>IF(ISNUMBER(L23),INDEX($U$5:$U$15,MATCH(L23,$T$5:$T$15,0)),"")</f>
        <v/>
      </c>
      <c r="N23" s="38">
        <f>IF(OR(H23="",I23=""),"",IF(J23="3P",H23*1000/(SQRT(3)*$C$6*I23),H23*1000/($C$5*I23)))</f>
        <v/>
      </c>
    </row>
    <row r="24">
      <c r="A24" s="33">
        <f>IF(B24="","",ROW()-17)</f>
        <v/>
      </c>
      <c r="B24" s="34" t="inlineStr">
        <is>
          <t>Majlis AC</t>
        </is>
      </c>
      <c r="C24" s="21" t="inlineStr">
        <is>
          <t>Split AC</t>
        </is>
      </c>
      <c r="D24" s="14" t="n">
        <v>1</v>
      </c>
      <c r="E24" s="35" t="n">
        <v>2400</v>
      </c>
      <c r="F24" s="36">
        <f>IF(OR(D24="",E24=""),"",D24*E24/1000)</f>
        <v/>
      </c>
      <c r="G24" s="37">
        <f>IFERROR(INDEX($R$5:$R$13,MATCH(C24,$P$5:$P$13,0)),"")</f>
        <v/>
      </c>
      <c r="H24" s="36">
        <f>IF(OR(F24="",G24=""),"",F24*G24)</f>
        <v/>
      </c>
      <c r="I24" s="36">
        <f>IFERROR(INDEX($Q$5:$Q$13,MATCH(C24,$P$5:$P$13,0)),"")</f>
        <v/>
      </c>
      <c r="J24" s="21" t="inlineStr">
        <is>
          <t>L2</t>
        </is>
      </c>
      <c r="K24" s="38">
        <f>IF(OR(F24="",I24=""),"",IF(J24="3P",F24*1000/(SQRT(3)*$C$6*I24),F24*1000/($C$5*I24)))</f>
        <v/>
      </c>
      <c r="L24" s="39">
        <f>IF(K24="","",IF(K24&lt;=0,0,IF(K24&gt;MAX($T$5:$T$15),"—",INDEX($T$5:$T$15,COUNTIF($T$5:$T$15,"&lt;"&amp;K24)+1))))</f>
        <v/>
      </c>
      <c r="M24" s="38">
        <f>IF(ISNUMBER(L24),INDEX($U$5:$U$15,MATCH(L24,$T$5:$T$15,0)),"")</f>
        <v/>
      </c>
      <c r="N24" s="38">
        <f>IF(OR(H24="",I24=""),"",IF(J24="3P",H24*1000/(SQRT(3)*$C$6*I24),H24*1000/($C$5*I24)))</f>
        <v/>
      </c>
    </row>
    <row r="25">
      <c r="A25" s="33">
        <f>IF(B25="","",ROW()-17)</f>
        <v/>
      </c>
      <c r="B25" s="34" t="inlineStr">
        <is>
          <t>Living AC</t>
        </is>
      </c>
      <c r="C25" s="21" t="inlineStr">
        <is>
          <t>Split AC</t>
        </is>
      </c>
      <c r="D25" s="14" t="n">
        <v>1</v>
      </c>
      <c r="E25" s="35" t="n">
        <v>2400</v>
      </c>
      <c r="F25" s="36">
        <f>IF(OR(D25="",E25=""),"",D25*E25/1000)</f>
        <v/>
      </c>
      <c r="G25" s="37">
        <f>IFERROR(INDEX($R$5:$R$13,MATCH(C25,$P$5:$P$13,0)),"")</f>
        <v/>
      </c>
      <c r="H25" s="36">
        <f>IF(OR(F25="",G25=""),"",F25*G25)</f>
        <v/>
      </c>
      <c r="I25" s="36">
        <f>IFERROR(INDEX($Q$5:$Q$13,MATCH(C25,$P$5:$P$13,0)),"")</f>
        <v/>
      </c>
      <c r="J25" s="21" t="inlineStr">
        <is>
          <t>L3</t>
        </is>
      </c>
      <c r="K25" s="38">
        <f>IF(OR(F25="",I25=""),"",IF(J25="3P",F25*1000/(SQRT(3)*$C$6*I25),F25*1000/($C$5*I25)))</f>
        <v/>
      </c>
      <c r="L25" s="39">
        <f>IF(K25="","",IF(K25&lt;=0,0,IF(K25&gt;MAX($T$5:$T$15),"—",INDEX($T$5:$T$15,COUNTIF($T$5:$T$15,"&lt;"&amp;K25)+1))))</f>
        <v/>
      </c>
      <c r="M25" s="38">
        <f>IF(ISNUMBER(L25),INDEX($U$5:$U$15,MATCH(L25,$T$5:$T$15,0)),"")</f>
        <v/>
      </c>
      <c r="N25" s="38">
        <f>IF(OR(H25="",I25=""),"",IF(J25="3P",H25*1000/(SQRT(3)*$C$6*I25),H25*1000/($C$5*I25)))</f>
        <v/>
      </c>
    </row>
    <row r="26">
      <c r="A26" s="33">
        <f>IF(B26="","",ROW()-17)</f>
        <v/>
      </c>
      <c r="B26" s="34" t="inlineStr">
        <is>
          <t>Master bedroom AC</t>
        </is>
      </c>
      <c r="C26" s="21" t="inlineStr">
        <is>
          <t>Split AC</t>
        </is>
      </c>
      <c r="D26" s="14" t="n">
        <v>1</v>
      </c>
      <c r="E26" s="35" t="n">
        <v>1800</v>
      </c>
      <c r="F26" s="36">
        <f>IF(OR(D26="",E26=""),"",D26*E26/1000)</f>
        <v/>
      </c>
      <c r="G26" s="37">
        <f>IFERROR(INDEX($R$5:$R$13,MATCH(C26,$P$5:$P$13,0)),"")</f>
        <v/>
      </c>
      <c r="H26" s="36">
        <f>IF(OR(F26="",G26=""),"",F26*G26)</f>
        <v/>
      </c>
      <c r="I26" s="36">
        <f>IFERROR(INDEX($Q$5:$Q$13,MATCH(C26,$P$5:$P$13,0)),"")</f>
        <v/>
      </c>
      <c r="J26" s="21" t="inlineStr">
        <is>
          <t>L3</t>
        </is>
      </c>
      <c r="K26" s="38">
        <f>IF(OR(F26="",I26=""),"",IF(J26="3P",F26*1000/(SQRT(3)*$C$6*I26),F26*1000/($C$5*I26)))</f>
        <v/>
      </c>
      <c r="L26" s="39">
        <f>IF(K26="","",IF(K26&lt;=0,0,IF(K26&gt;MAX($T$5:$T$15),"—",INDEX($T$5:$T$15,COUNTIF($T$5:$T$15,"&lt;"&amp;K26)+1))))</f>
        <v/>
      </c>
      <c r="M26" s="38">
        <f>IF(ISNUMBER(L26),INDEX($U$5:$U$15,MATCH(L26,$T$5:$T$15,0)),"")</f>
        <v/>
      </c>
      <c r="N26" s="38">
        <f>IF(OR(H26="",I26=""),"",IF(J26="3P",H26*1000/(SQRT(3)*$C$6*I26),H26*1000/($C$5*I26)))</f>
        <v/>
      </c>
    </row>
    <row r="27">
      <c r="A27" s="33">
        <f>IF(B27="","",ROW()-17)</f>
        <v/>
      </c>
      <c r="B27" s="34" t="inlineStr">
        <is>
          <t>Bedroom 2 AC</t>
        </is>
      </c>
      <c r="C27" s="21" t="inlineStr">
        <is>
          <t>Split AC</t>
        </is>
      </c>
      <c r="D27" s="14" t="n">
        <v>1</v>
      </c>
      <c r="E27" s="35" t="n">
        <v>1500</v>
      </c>
      <c r="F27" s="36">
        <f>IF(OR(D27="",E27=""),"",D27*E27/1000)</f>
        <v/>
      </c>
      <c r="G27" s="37">
        <f>IFERROR(INDEX($R$5:$R$13,MATCH(C27,$P$5:$P$13,0)),"")</f>
        <v/>
      </c>
      <c r="H27" s="36">
        <f>IF(OR(F27="",G27=""),"",F27*G27)</f>
        <v/>
      </c>
      <c r="I27" s="36">
        <f>IFERROR(INDEX($Q$5:$Q$13,MATCH(C27,$P$5:$P$13,0)),"")</f>
        <v/>
      </c>
      <c r="J27" s="21" t="inlineStr">
        <is>
          <t>L2</t>
        </is>
      </c>
      <c r="K27" s="38">
        <f>IF(OR(F27="",I27=""),"",IF(J27="3P",F27*1000/(SQRT(3)*$C$6*I27),F27*1000/($C$5*I27)))</f>
        <v/>
      </c>
      <c r="L27" s="39">
        <f>IF(K27="","",IF(K27&lt;=0,0,IF(K27&gt;MAX($T$5:$T$15),"—",INDEX($T$5:$T$15,COUNTIF($T$5:$T$15,"&lt;"&amp;K27)+1))))</f>
        <v/>
      </c>
      <c r="M27" s="38">
        <f>IF(ISNUMBER(L27),INDEX($U$5:$U$15,MATCH(L27,$T$5:$T$15,0)),"")</f>
        <v/>
      </c>
      <c r="N27" s="38">
        <f>IF(OR(H27="",I27=""),"",IF(J27="3P",H27*1000/(SQRT(3)*$C$6*I27),H27*1000/($C$5*I27)))</f>
        <v/>
      </c>
    </row>
    <row r="28">
      <c r="A28" s="33">
        <f>IF(B28="","",ROW()-17)</f>
        <v/>
      </c>
      <c r="B28" s="34" t="inlineStr">
        <is>
          <t>Bedroom 3 AC</t>
        </is>
      </c>
      <c r="C28" s="21" t="inlineStr">
        <is>
          <t>Split AC</t>
        </is>
      </c>
      <c r="D28" s="14" t="n">
        <v>1</v>
      </c>
      <c r="E28" s="35" t="n">
        <v>1500</v>
      </c>
      <c r="F28" s="36">
        <f>IF(OR(D28="",E28=""),"",D28*E28/1000)</f>
        <v/>
      </c>
      <c r="G28" s="37">
        <f>IFERROR(INDEX($R$5:$R$13,MATCH(C28,$P$5:$P$13,0)),"")</f>
        <v/>
      </c>
      <c r="H28" s="36">
        <f>IF(OR(F28="",G28=""),"",F28*G28)</f>
        <v/>
      </c>
      <c r="I28" s="36">
        <f>IFERROR(INDEX($Q$5:$Q$13,MATCH(C28,$P$5:$P$13,0)),"")</f>
        <v/>
      </c>
      <c r="J28" s="21" t="inlineStr">
        <is>
          <t>L1</t>
        </is>
      </c>
      <c r="K28" s="38">
        <f>IF(OR(F28="",I28=""),"",IF(J28="3P",F28*1000/(SQRT(3)*$C$6*I28),F28*1000/($C$5*I28)))</f>
        <v/>
      </c>
      <c r="L28" s="39">
        <f>IF(K28="","",IF(K28&lt;=0,0,IF(K28&gt;MAX($T$5:$T$15),"—",INDEX($T$5:$T$15,COUNTIF($T$5:$T$15,"&lt;"&amp;K28)+1))))</f>
        <v/>
      </c>
      <c r="M28" s="38">
        <f>IF(ISNUMBER(L28),INDEX($U$5:$U$15,MATCH(L28,$T$5:$T$15,0)),"")</f>
        <v/>
      </c>
      <c r="N28" s="38">
        <f>IF(OR(H28="",I28=""),"",IF(J28="3P",H28*1000/(SQRT(3)*$C$6*I28),H28*1000/($C$5*I28)))</f>
        <v/>
      </c>
    </row>
    <row r="29">
      <c r="A29" s="33">
        <f>IF(B29="","",ROW()-17)</f>
        <v/>
      </c>
      <c r="B29" s="34" t="inlineStr">
        <is>
          <t>Bedroom 4 AC</t>
        </is>
      </c>
      <c r="C29" s="21" t="inlineStr">
        <is>
          <t>Split AC</t>
        </is>
      </c>
      <c r="D29" s="14" t="n">
        <v>1</v>
      </c>
      <c r="E29" s="35" t="n">
        <v>1500</v>
      </c>
      <c r="F29" s="36">
        <f>IF(OR(D29="",E29=""),"",D29*E29/1000)</f>
        <v/>
      </c>
      <c r="G29" s="37">
        <f>IFERROR(INDEX($R$5:$R$13,MATCH(C29,$P$5:$P$13,0)),"")</f>
        <v/>
      </c>
      <c r="H29" s="36">
        <f>IF(OR(F29="",G29=""),"",F29*G29)</f>
        <v/>
      </c>
      <c r="I29" s="36">
        <f>IFERROR(INDEX($Q$5:$Q$13,MATCH(C29,$P$5:$P$13,0)),"")</f>
        <v/>
      </c>
      <c r="J29" s="21" t="inlineStr">
        <is>
          <t>L3</t>
        </is>
      </c>
      <c r="K29" s="38">
        <f>IF(OR(F29="",I29=""),"",IF(J29="3P",F29*1000/(SQRT(3)*$C$6*I29),F29*1000/($C$5*I29)))</f>
        <v/>
      </c>
      <c r="L29" s="39">
        <f>IF(K29="","",IF(K29&lt;=0,0,IF(K29&gt;MAX($T$5:$T$15),"—",INDEX($T$5:$T$15,COUNTIF($T$5:$T$15,"&lt;"&amp;K29)+1))))</f>
        <v/>
      </c>
      <c r="M29" s="38">
        <f>IF(ISNUMBER(L29),INDEX($U$5:$U$15,MATCH(L29,$T$5:$T$15,0)),"")</f>
        <v/>
      </c>
      <c r="N29" s="38">
        <f>IF(OR(H29="",I29=""),"",IF(J29="3P",H29*1000/(SQRT(3)*$C$6*I29),H29*1000/($C$5*I29)))</f>
        <v/>
      </c>
    </row>
    <row r="30">
      <c r="A30" s="33">
        <f>IF(B30="","",ROW()-17)</f>
        <v/>
      </c>
      <c r="B30" s="34" t="inlineStr">
        <is>
          <t>Family room AC</t>
        </is>
      </c>
      <c r="C30" s="21" t="inlineStr">
        <is>
          <t>Split AC</t>
        </is>
      </c>
      <c r="D30" s="14" t="n">
        <v>1</v>
      </c>
      <c r="E30" s="35" t="n">
        <v>2200</v>
      </c>
      <c r="F30" s="36">
        <f>IF(OR(D30="",E30=""),"",D30*E30/1000)</f>
        <v/>
      </c>
      <c r="G30" s="37">
        <f>IFERROR(INDEX($R$5:$R$13,MATCH(C30,$P$5:$P$13,0)),"")</f>
        <v/>
      </c>
      <c r="H30" s="36">
        <f>IF(OR(F30="",G30=""),"",F30*G30)</f>
        <v/>
      </c>
      <c r="I30" s="36">
        <f>IFERROR(INDEX($Q$5:$Q$13,MATCH(C30,$P$5:$P$13,0)),"")</f>
        <v/>
      </c>
      <c r="J30" s="21" t="inlineStr">
        <is>
          <t>L2</t>
        </is>
      </c>
      <c r="K30" s="38">
        <f>IF(OR(F30="",I30=""),"",IF(J30="3P",F30*1000/(SQRT(3)*$C$6*I30),F30*1000/($C$5*I30)))</f>
        <v/>
      </c>
      <c r="L30" s="39">
        <f>IF(K30="","",IF(K30&lt;=0,0,IF(K30&gt;MAX($T$5:$T$15),"—",INDEX($T$5:$T$15,COUNTIF($T$5:$T$15,"&lt;"&amp;K30)+1))))</f>
        <v/>
      </c>
      <c r="M30" s="38">
        <f>IF(ISNUMBER(L30),INDEX($U$5:$U$15,MATCH(L30,$T$5:$T$15,0)),"")</f>
        <v/>
      </c>
      <c r="N30" s="38">
        <f>IF(OR(H30="",I30=""),"",IF(J30="3P",H30*1000/(SQRT(3)*$C$6*I30),H30*1000/($C$5*I30)))</f>
        <v/>
      </c>
    </row>
    <row r="31">
      <c r="A31" s="33">
        <f>IF(B31="","",ROW()-17)</f>
        <v/>
      </c>
      <c r="B31" s="34" t="inlineStr">
        <is>
          <t>Bathroom heater 1</t>
        </is>
      </c>
      <c r="C31" s="21" t="inlineStr">
        <is>
          <t>Water heater</t>
        </is>
      </c>
      <c r="D31" s="14" t="n">
        <v>1</v>
      </c>
      <c r="E31" s="35" t="n">
        <v>2000</v>
      </c>
      <c r="F31" s="36">
        <f>IF(OR(D31="",E31=""),"",D31*E31/1000)</f>
        <v/>
      </c>
      <c r="G31" s="37">
        <f>IFERROR(INDEX($R$5:$R$13,MATCH(C31,$P$5:$P$13,0)),"")</f>
        <v/>
      </c>
      <c r="H31" s="36">
        <f>IF(OR(F31="",G31=""),"",F31*G31)</f>
        <v/>
      </c>
      <c r="I31" s="36">
        <f>IFERROR(INDEX($Q$5:$Q$13,MATCH(C31,$P$5:$P$13,0)),"")</f>
        <v/>
      </c>
      <c r="J31" s="21" t="inlineStr">
        <is>
          <t>L2</t>
        </is>
      </c>
      <c r="K31" s="38">
        <f>IF(OR(F31="",I31=""),"",IF(J31="3P",F31*1000/(SQRT(3)*$C$6*I31),F31*1000/($C$5*I31)))</f>
        <v/>
      </c>
      <c r="L31" s="39">
        <f>IF(K31="","",IF(K31&lt;=0,0,IF(K31&gt;MAX($T$5:$T$15),"—",INDEX($T$5:$T$15,COUNTIF($T$5:$T$15,"&lt;"&amp;K31)+1))))</f>
        <v/>
      </c>
      <c r="M31" s="38">
        <f>IF(ISNUMBER(L31),INDEX($U$5:$U$15,MATCH(L31,$T$5:$T$15,0)),"")</f>
        <v/>
      </c>
      <c r="N31" s="38">
        <f>IF(OR(H31="",I31=""),"",IF(J31="3P",H31*1000/(SQRT(3)*$C$6*I31),H31*1000/($C$5*I31)))</f>
        <v/>
      </c>
    </row>
    <row r="32">
      <c r="A32" s="33">
        <f>IF(B32="","",ROW()-17)</f>
        <v/>
      </c>
      <c r="B32" s="34" t="inlineStr">
        <is>
          <t>Bathroom heater 2</t>
        </is>
      </c>
      <c r="C32" s="21" t="inlineStr">
        <is>
          <t>Water heater</t>
        </is>
      </c>
      <c r="D32" s="14" t="n">
        <v>1</v>
      </c>
      <c r="E32" s="35" t="n">
        <v>2000</v>
      </c>
      <c r="F32" s="36">
        <f>IF(OR(D32="",E32=""),"",D32*E32/1000)</f>
        <v/>
      </c>
      <c r="G32" s="37">
        <f>IFERROR(INDEX($R$5:$R$13,MATCH(C32,$P$5:$P$13,0)),"")</f>
        <v/>
      </c>
      <c r="H32" s="36">
        <f>IF(OR(F32="",G32=""),"",F32*G32)</f>
        <v/>
      </c>
      <c r="I32" s="36">
        <f>IFERROR(INDEX($Q$5:$Q$13,MATCH(C32,$P$5:$P$13,0)),"")</f>
        <v/>
      </c>
      <c r="J32" s="21" t="inlineStr">
        <is>
          <t>L1</t>
        </is>
      </c>
      <c r="K32" s="38">
        <f>IF(OR(F32="",I32=""),"",IF(J32="3P",F32*1000/(SQRT(3)*$C$6*I32),F32*1000/($C$5*I32)))</f>
        <v/>
      </c>
      <c r="L32" s="39">
        <f>IF(K32="","",IF(K32&lt;=0,0,IF(K32&gt;MAX($T$5:$T$15),"—",INDEX($T$5:$T$15,COUNTIF($T$5:$T$15,"&lt;"&amp;K32)+1))))</f>
        <v/>
      </c>
      <c r="M32" s="38">
        <f>IF(ISNUMBER(L32),INDEX($U$5:$U$15,MATCH(L32,$T$5:$T$15,0)),"")</f>
        <v/>
      </c>
      <c r="N32" s="38">
        <f>IF(OR(H32="",I32=""),"",IF(J32="3P",H32*1000/(SQRT(3)*$C$6*I32),H32*1000/($C$5*I32)))</f>
        <v/>
      </c>
    </row>
    <row r="33">
      <c r="A33" s="33">
        <f>IF(B33="","",ROW()-17)</f>
        <v/>
      </c>
      <c r="B33" s="34" t="inlineStr">
        <is>
          <t>Oven &amp; cooker</t>
        </is>
      </c>
      <c r="C33" s="21" t="inlineStr">
        <is>
          <t>Kitchen appliances</t>
        </is>
      </c>
      <c r="D33" s="14" t="n">
        <v>1</v>
      </c>
      <c r="E33" s="35" t="n">
        <v>3500</v>
      </c>
      <c r="F33" s="36">
        <f>IF(OR(D33="",E33=""),"",D33*E33/1000)</f>
        <v/>
      </c>
      <c r="G33" s="37">
        <f>IFERROR(INDEX($R$5:$R$13,MATCH(C33,$P$5:$P$13,0)),"")</f>
        <v/>
      </c>
      <c r="H33" s="36">
        <f>IF(OR(F33="",G33=""),"",F33*G33)</f>
        <v/>
      </c>
      <c r="I33" s="36">
        <f>IFERROR(INDEX($Q$5:$Q$13,MATCH(C33,$P$5:$P$13,0)),"")</f>
        <v/>
      </c>
      <c r="J33" s="21" t="inlineStr">
        <is>
          <t>L3</t>
        </is>
      </c>
      <c r="K33" s="38">
        <f>IF(OR(F33="",I33=""),"",IF(J33="3P",F33*1000/(SQRT(3)*$C$6*I33),F33*1000/($C$5*I33)))</f>
        <v/>
      </c>
      <c r="L33" s="39">
        <f>IF(K33="","",IF(K33&lt;=0,0,IF(K33&gt;MAX($T$5:$T$15),"—",INDEX($T$5:$T$15,COUNTIF($T$5:$T$15,"&lt;"&amp;K33)+1))))</f>
        <v/>
      </c>
      <c r="M33" s="38">
        <f>IF(ISNUMBER(L33),INDEX($U$5:$U$15,MATCH(L33,$T$5:$T$15,0)),"")</f>
        <v/>
      </c>
      <c r="N33" s="38">
        <f>IF(OR(H33="",I33=""),"",IF(J33="3P",H33*1000/(SQRT(3)*$C$6*I33),H33*1000/($C$5*I33)))</f>
        <v/>
      </c>
    </row>
    <row r="34">
      <c r="A34" s="33">
        <f>IF(B34="","",ROW()-17)</f>
        <v/>
      </c>
      <c r="B34" s="34" t="inlineStr">
        <is>
          <t>Dishwasher</t>
        </is>
      </c>
      <c r="C34" s="21" t="inlineStr">
        <is>
          <t>Kitchen appliances</t>
        </is>
      </c>
      <c r="D34" s="14" t="n">
        <v>1</v>
      </c>
      <c r="E34" s="35" t="n">
        <v>2000</v>
      </c>
      <c r="F34" s="36">
        <f>IF(OR(D34="",E34=""),"",D34*E34/1000)</f>
        <v/>
      </c>
      <c r="G34" s="37">
        <f>IFERROR(INDEX($R$5:$R$13,MATCH(C34,$P$5:$P$13,0)),"")</f>
        <v/>
      </c>
      <c r="H34" s="36">
        <f>IF(OR(F34="",G34=""),"",F34*G34)</f>
        <v/>
      </c>
      <c r="I34" s="36">
        <f>IFERROR(INDEX($Q$5:$Q$13,MATCH(C34,$P$5:$P$13,0)),"")</f>
        <v/>
      </c>
      <c r="J34" s="21" t="inlineStr">
        <is>
          <t>L3</t>
        </is>
      </c>
      <c r="K34" s="38">
        <f>IF(OR(F34="",I34=""),"",IF(J34="3P",F34*1000/(SQRT(3)*$C$6*I34),F34*1000/($C$5*I34)))</f>
        <v/>
      </c>
      <c r="L34" s="39">
        <f>IF(K34="","",IF(K34&lt;=0,0,IF(K34&gt;MAX($T$5:$T$15),"—",INDEX($T$5:$T$15,COUNTIF($T$5:$T$15,"&lt;"&amp;K34)+1))))</f>
        <v/>
      </c>
      <c r="M34" s="38">
        <f>IF(ISNUMBER(L34),INDEX($U$5:$U$15,MATCH(L34,$T$5:$T$15,0)),"")</f>
        <v/>
      </c>
      <c r="N34" s="38">
        <f>IF(OR(H34="",I34=""),"",IF(J34="3P",H34*1000/(SQRT(3)*$C$6*I34),H34*1000/($C$5*I34)))</f>
        <v/>
      </c>
    </row>
    <row r="35">
      <c r="A35" s="33">
        <f>IF(B35="","",ROW()-17)</f>
        <v/>
      </c>
      <c r="B35" s="34" t="inlineStr">
        <is>
          <t>Washing machine</t>
        </is>
      </c>
      <c r="C35" s="21" t="inlineStr">
        <is>
          <t>Washer / dryer</t>
        </is>
      </c>
      <c r="D35" s="14" t="n">
        <v>1</v>
      </c>
      <c r="E35" s="35" t="n">
        <v>2200</v>
      </c>
      <c r="F35" s="36">
        <f>IF(OR(D35="",E35=""),"",D35*E35/1000)</f>
        <v/>
      </c>
      <c r="G35" s="37">
        <f>IFERROR(INDEX($R$5:$R$13,MATCH(C35,$P$5:$P$13,0)),"")</f>
        <v/>
      </c>
      <c r="H35" s="36">
        <f>IF(OR(F35="",G35=""),"",F35*G35)</f>
        <v/>
      </c>
      <c r="I35" s="36">
        <f>IFERROR(INDEX($Q$5:$Q$13,MATCH(C35,$P$5:$P$13,0)),"")</f>
        <v/>
      </c>
      <c r="J35" s="21" t="inlineStr">
        <is>
          <t>L3</t>
        </is>
      </c>
      <c r="K35" s="38">
        <f>IF(OR(F35="",I35=""),"",IF(J35="3P",F35*1000/(SQRT(3)*$C$6*I35),F35*1000/($C$5*I35)))</f>
        <v/>
      </c>
      <c r="L35" s="39">
        <f>IF(K35="","",IF(K35&lt;=0,0,IF(K35&gt;MAX($T$5:$T$15),"—",INDEX($T$5:$T$15,COUNTIF($T$5:$T$15,"&lt;"&amp;K35)+1))))</f>
        <v/>
      </c>
      <c r="M35" s="38">
        <f>IF(ISNUMBER(L35),INDEX($U$5:$U$15,MATCH(L35,$T$5:$T$15,0)),"")</f>
        <v/>
      </c>
      <c r="N35" s="38">
        <f>IF(OR(H35="",I35=""),"",IF(J35="3P",H35*1000/(SQRT(3)*$C$6*I35),H35*1000/($C$5*I35)))</f>
        <v/>
      </c>
    </row>
    <row r="36">
      <c r="A36" s="33">
        <f>IF(B36="","",ROW()-17)</f>
        <v/>
      </c>
      <c r="B36" s="34" t="inlineStr">
        <is>
          <t>Dryer</t>
        </is>
      </c>
      <c r="C36" s="21" t="inlineStr">
        <is>
          <t>Washer / dryer</t>
        </is>
      </c>
      <c r="D36" s="14" t="n">
        <v>1</v>
      </c>
      <c r="E36" s="35" t="n">
        <v>2800</v>
      </c>
      <c r="F36" s="36">
        <f>IF(OR(D36="",E36=""),"",D36*E36/1000)</f>
        <v/>
      </c>
      <c r="G36" s="37">
        <f>IFERROR(INDEX($R$5:$R$13,MATCH(C36,$P$5:$P$13,0)),"")</f>
        <v/>
      </c>
      <c r="H36" s="36">
        <f>IF(OR(F36="",G36=""),"",F36*G36)</f>
        <v/>
      </c>
      <c r="I36" s="36">
        <f>IFERROR(INDEX($Q$5:$Q$13,MATCH(C36,$P$5:$P$13,0)),"")</f>
        <v/>
      </c>
      <c r="J36" s="21" t="inlineStr">
        <is>
          <t>L2</t>
        </is>
      </c>
      <c r="K36" s="38">
        <f>IF(OR(F36="",I36=""),"",IF(J36="3P",F36*1000/(SQRT(3)*$C$6*I36),F36*1000/($C$5*I36)))</f>
        <v/>
      </c>
      <c r="L36" s="39">
        <f>IF(K36="","",IF(K36&lt;=0,0,IF(K36&gt;MAX($T$5:$T$15),"—",INDEX($T$5:$T$15,COUNTIF($T$5:$T$15,"&lt;"&amp;K36)+1))))</f>
        <v/>
      </c>
      <c r="M36" s="38">
        <f>IF(ISNUMBER(L36),INDEX($U$5:$U$15,MATCH(L36,$T$5:$T$15,0)),"")</f>
        <v/>
      </c>
      <c r="N36" s="38">
        <f>IF(OR(H36="",I36=""),"",IF(J36="3P",H36*1000/(SQRT(3)*$C$6*I36),H36*1000/($C$5*I36)))</f>
        <v/>
      </c>
    </row>
    <row r="37">
      <c r="A37" s="33">
        <f>IF(B37="","",ROW()-17)</f>
        <v/>
      </c>
      <c r="B37" s="34" t="inlineStr">
        <is>
          <t>Water pump</t>
        </is>
      </c>
      <c r="C37" s="21" t="inlineStr">
        <is>
          <t>Pump</t>
        </is>
      </c>
      <c r="D37" s="14" t="n">
        <v>1</v>
      </c>
      <c r="E37" s="35" t="n">
        <v>750</v>
      </c>
      <c r="F37" s="36">
        <f>IF(OR(D37="",E37=""),"",D37*E37/1000)</f>
        <v/>
      </c>
      <c r="G37" s="37">
        <f>IFERROR(INDEX($R$5:$R$13,MATCH(C37,$P$5:$P$13,0)),"")</f>
        <v/>
      </c>
      <c r="H37" s="36">
        <f>IF(OR(F37="",G37=""),"",F37*G37)</f>
        <v/>
      </c>
      <c r="I37" s="36">
        <f>IFERROR(INDEX($Q$5:$Q$13,MATCH(C37,$P$5:$P$13,0)),"")</f>
        <v/>
      </c>
      <c r="J37" s="21" t="inlineStr">
        <is>
          <t>L2</t>
        </is>
      </c>
      <c r="K37" s="38">
        <f>IF(OR(F37="",I37=""),"",IF(J37="3P",F37*1000/(SQRT(3)*$C$6*I37),F37*1000/($C$5*I37)))</f>
        <v/>
      </c>
      <c r="L37" s="39">
        <f>IF(K37="","",IF(K37&lt;=0,0,IF(K37&gt;MAX($T$5:$T$15),"—",INDEX($T$5:$T$15,COUNTIF($T$5:$T$15,"&lt;"&amp;K37)+1))))</f>
        <v/>
      </c>
      <c r="M37" s="38">
        <f>IF(ISNUMBER(L37),INDEX($U$5:$U$15,MATCH(L37,$T$5:$T$15,0)),"")</f>
        <v/>
      </c>
      <c r="N37" s="38">
        <f>IF(OR(H37="",I37=""),"",IF(J37="3P",H37*1000/(SQRT(3)*$C$6*I37),H37*1000/($C$5*I37)))</f>
        <v/>
      </c>
    </row>
    <row r="38">
      <c r="A38" s="33">
        <f>IF(B38="","",ROW()-17)</f>
        <v/>
      </c>
      <c r="B38" s="34" t="inlineStr">
        <is>
          <t>EV charger</t>
        </is>
      </c>
      <c r="C38" s="21" t="inlineStr">
        <is>
          <t>EV charger</t>
        </is>
      </c>
      <c r="D38" s="14" t="n">
        <v>1</v>
      </c>
      <c r="E38" s="35" t="n">
        <v>7000</v>
      </c>
      <c r="F38" s="36">
        <f>IF(OR(D38="",E38=""),"",D38*E38/1000)</f>
        <v/>
      </c>
      <c r="G38" s="37">
        <f>IFERROR(INDEX($R$5:$R$13,MATCH(C38,$P$5:$P$13,0)),"")</f>
        <v/>
      </c>
      <c r="H38" s="36">
        <f>IF(OR(F38="",G38=""),"",F38*G38)</f>
        <v/>
      </c>
      <c r="I38" s="36">
        <f>IFERROR(INDEX($Q$5:$Q$13,MATCH(C38,$P$5:$P$13,0)),"")</f>
        <v/>
      </c>
      <c r="J38" s="21" t="inlineStr">
        <is>
          <t>L1</t>
        </is>
      </c>
      <c r="K38" s="38">
        <f>IF(OR(F38="",I38=""),"",IF(J38="3P",F38*1000/(SQRT(3)*$C$6*I38),F38*1000/($C$5*I38)))</f>
        <v/>
      </c>
      <c r="L38" s="39">
        <f>IF(K38="","",IF(K38&lt;=0,0,IF(K38&gt;MAX($T$5:$T$15),"—",INDEX($T$5:$T$15,COUNTIF($T$5:$T$15,"&lt;"&amp;K38)+1))))</f>
        <v/>
      </c>
      <c r="M38" s="38">
        <f>IF(ISNUMBER(L38),INDEX($U$5:$U$15,MATCH(L38,$T$5:$T$15,0)),"")</f>
        <v/>
      </c>
      <c r="N38" s="38">
        <f>IF(OR(H38="",I38=""),"",IF(J38="3P",H38*1000/(SQRT(3)*$C$6*I38),H38*1000/($C$5*I38)))</f>
        <v/>
      </c>
    </row>
    <row r="39">
      <c r="A39" s="33">
        <f>IF(B39="","",ROW()-17)</f>
        <v/>
      </c>
      <c r="B39" s="34" t="n"/>
      <c r="C39" s="21" t="n"/>
      <c r="D39" s="14" t="n"/>
      <c r="E39" s="35" t="n"/>
      <c r="F39" s="36">
        <f>IF(OR(D39="",E39=""),"",D39*E39/1000)</f>
        <v/>
      </c>
      <c r="G39" s="37">
        <f>IFERROR(INDEX($R$5:$R$13,MATCH(C39,$P$5:$P$13,0)),"")</f>
        <v/>
      </c>
      <c r="H39" s="36">
        <f>IF(OR(F39="",G39=""),"",F39*G39)</f>
        <v/>
      </c>
      <c r="I39" s="36">
        <f>IFERROR(INDEX($Q$5:$Q$13,MATCH(C39,$P$5:$P$13,0)),"")</f>
        <v/>
      </c>
      <c r="J39" s="21" t="n"/>
      <c r="K39" s="38">
        <f>IF(OR(F39="",I39=""),"",IF(J39="3P",F39*1000/(SQRT(3)*$C$6*I39),F39*1000/($C$5*I39)))</f>
        <v/>
      </c>
      <c r="L39" s="39">
        <f>IF(K39="","",IF(K39&lt;=0,0,IF(K39&gt;MAX($T$5:$T$15),"—",INDEX($T$5:$T$15,COUNTIF($T$5:$T$15,"&lt;"&amp;K39)+1))))</f>
        <v/>
      </c>
      <c r="M39" s="38">
        <f>IF(ISNUMBER(L39),INDEX($U$5:$U$15,MATCH(L39,$T$5:$T$15,0)),"")</f>
        <v/>
      </c>
      <c r="N39" s="38">
        <f>IF(OR(H39="",I39=""),"",IF(J39="3P",H39*1000/(SQRT(3)*$C$6*I39),H39*1000/($C$5*I39)))</f>
        <v/>
      </c>
    </row>
    <row r="40">
      <c r="A40" s="33">
        <f>IF(B40="","",ROW()-17)</f>
        <v/>
      </c>
      <c r="B40" s="34" t="n"/>
      <c r="C40" s="21" t="n"/>
      <c r="D40" s="14" t="n"/>
      <c r="E40" s="35" t="n"/>
      <c r="F40" s="36">
        <f>IF(OR(D40="",E40=""),"",D40*E40/1000)</f>
        <v/>
      </c>
      <c r="G40" s="37">
        <f>IFERROR(INDEX($R$5:$R$13,MATCH(C40,$P$5:$P$13,0)),"")</f>
        <v/>
      </c>
      <c r="H40" s="36">
        <f>IF(OR(F40="",G40=""),"",F40*G40)</f>
        <v/>
      </c>
      <c r="I40" s="36">
        <f>IFERROR(INDEX($Q$5:$Q$13,MATCH(C40,$P$5:$P$13,0)),"")</f>
        <v/>
      </c>
      <c r="J40" s="21" t="n"/>
      <c r="K40" s="38">
        <f>IF(OR(F40="",I40=""),"",IF(J40="3P",F40*1000/(SQRT(3)*$C$6*I40),F40*1000/($C$5*I40)))</f>
        <v/>
      </c>
      <c r="L40" s="39">
        <f>IF(K40="","",IF(K40&lt;=0,0,IF(K40&gt;MAX($T$5:$T$15),"—",INDEX($T$5:$T$15,COUNTIF($T$5:$T$15,"&lt;"&amp;K40)+1))))</f>
        <v/>
      </c>
      <c r="M40" s="38">
        <f>IF(ISNUMBER(L40),INDEX($U$5:$U$15,MATCH(L40,$T$5:$T$15,0)),"")</f>
        <v/>
      </c>
      <c r="N40" s="38">
        <f>IF(OR(H40="",I40=""),"",IF(J40="3P",H40*1000/(SQRT(3)*$C$6*I40),H40*1000/($C$5*I40)))</f>
        <v/>
      </c>
    </row>
    <row r="41">
      <c r="A41" s="33">
        <f>IF(B41="","",ROW()-17)</f>
        <v/>
      </c>
      <c r="B41" s="34" t="n"/>
      <c r="C41" s="21" t="n"/>
      <c r="D41" s="14" t="n"/>
      <c r="E41" s="35" t="n"/>
      <c r="F41" s="36">
        <f>IF(OR(D41="",E41=""),"",D41*E41/1000)</f>
        <v/>
      </c>
      <c r="G41" s="37">
        <f>IFERROR(INDEX($R$5:$R$13,MATCH(C41,$P$5:$P$13,0)),"")</f>
        <v/>
      </c>
      <c r="H41" s="36">
        <f>IF(OR(F41="",G41=""),"",F41*G41)</f>
        <v/>
      </c>
      <c r="I41" s="36">
        <f>IFERROR(INDEX($Q$5:$Q$13,MATCH(C41,$P$5:$P$13,0)),"")</f>
        <v/>
      </c>
      <c r="J41" s="21" t="n"/>
      <c r="K41" s="38">
        <f>IF(OR(F41="",I41=""),"",IF(J41="3P",F41*1000/(SQRT(3)*$C$6*I41),F41*1000/($C$5*I41)))</f>
        <v/>
      </c>
      <c r="L41" s="39">
        <f>IF(K41="","",IF(K41&lt;=0,0,IF(K41&gt;MAX($T$5:$T$15),"—",INDEX($T$5:$T$15,COUNTIF($T$5:$T$15,"&lt;"&amp;K41)+1))))</f>
        <v/>
      </c>
      <c r="M41" s="38">
        <f>IF(ISNUMBER(L41),INDEX($U$5:$U$15,MATCH(L41,$T$5:$T$15,0)),"")</f>
        <v/>
      </c>
      <c r="N41" s="38">
        <f>IF(OR(H41="",I41=""),"",IF(J41="3P",H41*1000/(SQRT(3)*$C$6*I41),H41*1000/($C$5*I41)))</f>
        <v/>
      </c>
    </row>
    <row r="42">
      <c r="A42" s="33">
        <f>IF(B42="","",ROW()-17)</f>
        <v/>
      </c>
      <c r="B42" s="34" t="n"/>
      <c r="C42" s="21" t="n"/>
      <c r="D42" s="14" t="n"/>
      <c r="E42" s="35" t="n"/>
      <c r="F42" s="36">
        <f>IF(OR(D42="",E42=""),"",D42*E42/1000)</f>
        <v/>
      </c>
      <c r="G42" s="37">
        <f>IFERROR(INDEX($R$5:$R$13,MATCH(C42,$P$5:$P$13,0)),"")</f>
        <v/>
      </c>
      <c r="H42" s="36">
        <f>IF(OR(F42="",G42=""),"",F42*G42)</f>
        <v/>
      </c>
      <c r="I42" s="36">
        <f>IFERROR(INDEX($Q$5:$Q$13,MATCH(C42,$P$5:$P$13,0)),"")</f>
        <v/>
      </c>
      <c r="J42" s="21" t="n"/>
      <c r="K42" s="38">
        <f>IF(OR(F42="",I42=""),"",IF(J42="3P",F42*1000/(SQRT(3)*$C$6*I42),F42*1000/($C$5*I42)))</f>
        <v/>
      </c>
      <c r="L42" s="39">
        <f>IF(K42="","",IF(K42&lt;=0,0,IF(K42&gt;MAX($T$5:$T$15),"—",INDEX($T$5:$T$15,COUNTIF($T$5:$T$15,"&lt;"&amp;K42)+1))))</f>
        <v/>
      </c>
      <c r="M42" s="38">
        <f>IF(ISNUMBER(L42),INDEX($U$5:$U$15,MATCH(L42,$T$5:$T$15,0)),"")</f>
        <v/>
      </c>
      <c r="N42" s="38">
        <f>IF(OR(H42="",I42=""),"",IF(J42="3P",H42*1000/(SQRT(3)*$C$6*I42),H42*1000/($C$5*I42)))</f>
        <v/>
      </c>
    </row>
    <row r="43">
      <c r="A43" s="33">
        <f>IF(B43="","",ROW()-17)</f>
        <v/>
      </c>
      <c r="B43" s="34" t="n"/>
      <c r="C43" s="21" t="n"/>
      <c r="D43" s="14" t="n"/>
      <c r="E43" s="35" t="n"/>
      <c r="F43" s="36">
        <f>IF(OR(D43="",E43=""),"",D43*E43/1000)</f>
        <v/>
      </c>
      <c r="G43" s="37">
        <f>IFERROR(INDEX($R$5:$R$13,MATCH(C43,$P$5:$P$13,0)),"")</f>
        <v/>
      </c>
      <c r="H43" s="36">
        <f>IF(OR(F43="",G43=""),"",F43*G43)</f>
        <v/>
      </c>
      <c r="I43" s="36">
        <f>IFERROR(INDEX($Q$5:$Q$13,MATCH(C43,$P$5:$P$13,0)),"")</f>
        <v/>
      </c>
      <c r="J43" s="21" t="n"/>
      <c r="K43" s="38">
        <f>IF(OR(F43="",I43=""),"",IF(J43="3P",F43*1000/(SQRT(3)*$C$6*I43),F43*1000/($C$5*I43)))</f>
        <v/>
      </c>
      <c r="L43" s="39">
        <f>IF(K43="","",IF(K43&lt;=0,0,IF(K43&gt;MAX($T$5:$T$15),"—",INDEX($T$5:$T$15,COUNTIF($T$5:$T$15,"&lt;"&amp;K43)+1))))</f>
        <v/>
      </c>
      <c r="M43" s="38">
        <f>IF(ISNUMBER(L43),INDEX($U$5:$U$15,MATCH(L43,$T$5:$T$15,0)),"")</f>
        <v/>
      </c>
      <c r="N43" s="38">
        <f>IF(OR(H43="",I43=""),"",IF(J43="3P",H43*1000/(SQRT(3)*$C$6*I43),H43*1000/($C$5*I43)))</f>
        <v/>
      </c>
    </row>
    <row r="44">
      <c r="A44" s="33">
        <f>IF(B44="","",ROW()-17)</f>
        <v/>
      </c>
      <c r="B44" s="34" t="n"/>
      <c r="C44" s="21" t="n"/>
      <c r="D44" s="14" t="n"/>
      <c r="E44" s="35" t="n"/>
      <c r="F44" s="36">
        <f>IF(OR(D44="",E44=""),"",D44*E44/1000)</f>
        <v/>
      </c>
      <c r="G44" s="37">
        <f>IFERROR(INDEX($R$5:$R$13,MATCH(C44,$P$5:$P$13,0)),"")</f>
        <v/>
      </c>
      <c r="H44" s="36">
        <f>IF(OR(F44="",G44=""),"",F44*G44)</f>
        <v/>
      </c>
      <c r="I44" s="36">
        <f>IFERROR(INDEX($Q$5:$Q$13,MATCH(C44,$P$5:$P$13,0)),"")</f>
        <v/>
      </c>
      <c r="J44" s="21" t="n"/>
      <c r="K44" s="38">
        <f>IF(OR(F44="",I44=""),"",IF(J44="3P",F44*1000/(SQRT(3)*$C$6*I44),F44*1000/($C$5*I44)))</f>
        <v/>
      </c>
      <c r="L44" s="39">
        <f>IF(K44="","",IF(K44&lt;=0,0,IF(K44&gt;MAX($T$5:$T$15),"—",INDEX($T$5:$T$15,COUNTIF($T$5:$T$15,"&lt;"&amp;K44)+1))))</f>
        <v/>
      </c>
      <c r="M44" s="38">
        <f>IF(ISNUMBER(L44),INDEX($U$5:$U$15,MATCH(L44,$T$5:$T$15,0)),"")</f>
        <v/>
      </c>
      <c r="N44" s="38">
        <f>IF(OR(H44="",I44=""),"",IF(J44="3P",H44*1000/(SQRT(3)*$C$6*I44),H44*1000/($C$5*I44)))</f>
        <v/>
      </c>
    </row>
    <row r="45">
      <c r="A45" s="33">
        <f>IF(B45="","",ROW()-17)</f>
        <v/>
      </c>
      <c r="B45" s="34" t="n"/>
      <c r="C45" s="21" t="n"/>
      <c r="D45" s="14" t="n"/>
      <c r="E45" s="35" t="n"/>
      <c r="F45" s="36">
        <f>IF(OR(D45="",E45=""),"",D45*E45/1000)</f>
        <v/>
      </c>
      <c r="G45" s="37">
        <f>IFERROR(INDEX($R$5:$R$13,MATCH(C45,$P$5:$P$13,0)),"")</f>
        <v/>
      </c>
      <c r="H45" s="36">
        <f>IF(OR(F45="",G45=""),"",F45*G45)</f>
        <v/>
      </c>
      <c r="I45" s="36">
        <f>IFERROR(INDEX($Q$5:$Q$13,MATCH(C45,$P$5:$P$13,0)),"")</f>
        <v/>
      </c>
      <c r="J45" s="21" t="n"/>
      <c r="K45" s="38">
        <f>IF(OR(F45="",I45=""),"",IF(J45="3P",F45*1000/(SQRT(3)*$C$6*I45),F45*1000/($C$5*I45)))</f>
        <v/>
      </c>
      <c r="L45" s="39">
        <f>IF(K45="","",IF(K45&lt;=0,0,IF(K45&gt;MAX($T$5:$T$15),"—",INDEX($T$5:$T$15,COUNTIF($T$5:$T$15,"&lt;"&amp;K45)+1))))</f>
        <v/>
      </c>
      <c r="M45" s="38">
        <f>IF(ISNUMBER(L45),INDEX($U$5:$U$15,MATCH(L45,$T$5:$T$15,0)),"")</f>
        <v/>
      </c>
      <c r="N45" s="38">
        <f>IF(OR(H45="",I45=""),"",IF(J45="3P",H45*1000/(SQRT(3)*$C$6*I45),H45*1000/($C$5*I45)))</f>
        <v/>
      </c>
    </row>
    <row r="46">
      <c r="A46" s="33">
        <f>IF(B46="","",ROW()-17)</f>
        <v/>
      </c>
      <c r="B46" s="34" t="n"/>
      <c r="C46" s="21" t="n"/>
      <c r="D46" s="14" t="n"/>
      <c r="E46" s="35" t="n"/>
      <c r="F46" s="36">
        <f>IF(OR(D46="",E46=""),"",D46*E46/1000)</f>
        <v/>
      </c>
      <c r="G46" s="37">
        <f>IFERROR(INDEX($R$5:$R$13,MATCH(C46,$P$5:$P$13,0)),"")</f>
        <v/>
      </c>
      <c r="H46" s="36">
        <f>IF(OR(F46="",G46=""),"",F46*G46)</f>
        <v/>
      </c>
      <c r="I46" s="36">
        <f>IFERROR(INDEX($Q$5:$Q$13,MATCH(C46,$P$5:$P$13,0)),"")</f>
        <v/>
      </c>
      <c r="J46" s="21" t="n"/>
      <c r="K46" s="38">
        <f>IF(OR(F46="",I46=""),"",IF(J46="3P",F46*1000/(SQRT(3)*$C$6*I46),F46*1000/($C$5*I46)))</f>
        <v/>
      </c>
      <c r="L46" s="39">
        <f>IF(K46="","",IF(K46&lt;=0,0,IF(K46&gt;MAX($T$5:$T$15),"—",INDEX($T$5:$T$15,COUNTIF($T$5:$T$15,"&lt;"&amp;K46)+1))))</f>
        <v/>
      </c>
      <c r="M46" s="38">
        <f>IF(ISNUMBER(L46),INDEX($U$5:$U$15,MATCH(L46,$T$5:$T$15,0)),"")</f>
        <v/>
      </c>
      <c r="N46" s="38">
        <f>IF(OR(H46="",I46=""),"",IF(J46="3P",H46*1000/(SQRT(3)*$C$6*I46),H46*1000/($C$5*I46)))</f>
        <v/>
      </c>
    </row>
    <row r="47">
      <c r="A47" s="33">
        <f>IF(B47="","",ROW()-17)</f>
        <v/>
      </c>
      <c r="B47" s="34" t="n"/>
      <c r="C47" s="21" t="n"/>
      <c r="D47" s="14" t="n"/>
      <c r="E47" s="35" t="n"/>
      <c r="F47" s="36">
        <f>IF(OR(D47="",E47=""),"",D47*E47/1000)</f>
        <v/>
      </c>
      <c r="G47" s="37">
        <f>IFERROR(INDEX($R$5:$R$13,MATCH(C47,$P$5:$P$13,0)),"")</f>
        <v/>
      </c>
      <c r="H47" s="36">
        <f>IF(OR(F47="",G47=""),"",F47*G47)</f>
        <v/>
      </c>
      <c r="I47" s="36">
        <f>IFERROR(INDEX($Q$5:$Q$13,MATCH(C47,$P$5:$P$13,0)),"")</f>
        <v/>
      </c>
      <c r="J47" s="21" t="n"/>
      <c r="K47" s="38">
        <f>IF(OR(F47="",I47=""),"",IF(J47="3P",F47*1000/(SQRT(3)*$C$6*I47),F47*1000/($C$5*I47)))</f>
        <v/>
      </c>
      <c r="L47" s="39">
        <f>IF(K47="","",IF(K47&lt;=0,0,IF(K47&gt;MAX($T$5:$T$15),"—",INDEX($T$5:$T$15,COUNTIF($T$5:$T$15,"&lt;"&amp;K47)+1))))</f>
        <v/>
      </c>
      <c r="M47" s="38">
        <f>IF(ISNUMBER(L47),INDEX($U$5:$U$15,MATCH(L47,$T$5:$T$15,0)),"")</f>
        <v/>
      </c>
      <c r="N47" s="38">
        <f>IF(OR(H47="",I47=""),"",IF(J47="3P",H47*1000/(SQRT(3)*$C$6*I47),H47*1000/($C$5*I47)))</f>
        <v/>
      </c>
    </row>
    <row r="48">
      <c r="A48" s="33">
        <f>IF(B48="","",ROW()-17)</f>
        <v/>
      </c>
      <c r="B48" s="34" t="n"/>
      <c r="C48" s="21" t="n"/>
      <c r="D48" s="14" t="n"/>
      <c r="E48" s="35" t="n"/>
      <c r="F48" s="36">
        <f>IF(OR(D48="",E48=""),"",D48*E48/1000)</f>
        <v/>
      </c>
      <c r="G48" s="37">
        <f>IFERROR(INDEX($R$5:$R$13,MATCH(C48,$P$5:$P$13,0)),"")</f>
        <v/>
      </c>
      <c r="H48" s="36">
        <f>IF(OR(F48="",G48=""),"",F48*G48)</f>
        <v/>
      </c>
      <c r="I48" s="36">
        <f>IFERROR(INDEX($Q$5:$Q$13,MATCH(C48,$P$5:$P$13,0)),"")</f>
        <v/>
      </c>
      <c r="J48" s="21" t="n"/>
      <c r="K48" s="38">
        <f>IF(OR(F48="",I48=""),"",IF(J48="3P",F48*1000/(SQRT(3)*$C$6*I48),F48*1000/($C$5*I48)))</f>
        <v/>
      </c>
      <c r="L48" s="39">
        <f>IF(K48="","",IF(K48&lt;=0,0,IF(K48&gt;MAX($T$5:$T$15),"—",INDEX($T$5:$T$15,COUNTIF($T$5:$T$15,"&lt;"&amp;K48)+1))))</f>
        <v/>
      </c>
      <c r="M48" s="38">
        <f>IF(ISNUMBER(L48),INDEX($U$5:$U$15,MATCH(L48,$T$5:$T$15,0)),"")</f>
        <v/>
      </c>
      <c r="N48" s="38">
        <f>IF(OR(H48="",I48=""),"",IF(J48="3P",H48*1000/(SQRT(3)*$C$6*I48),H48*1000/($C$5*I48)))</f>
        <v/>
      </c>
    </row>
    <row r="49">
      <c r="A49" s="33">
        <f>IF(B49="","",ROW()-17)</f>
        <v/>
      </c>
      <c r="B49" s="34" t="n"/>
      <c r="C49" s="21" t="n"/>
      <c r="D49" s="14" t="n"/>
      <c r="E49" s="35" t="n"/>
      <c r="F49" s="36">
        <f>IF(OR(D49="",E49=""),"",D49*E49/1000)</f>
        <v/>
      </c>
      <c r="G49" s="37">
        <f>IFERROR(INDEX($R$5:$R$13,MATCH(C49,$P$5:$P$13,0)),"")</f>
        <v/>
      </c>
      <c r="H49" s="36">
        <f>IF(OR(F49="",G49=""),"",F49*G49)</f>
        <v/>
      </c>
      <c r="I49" s="36">
        <f>IFERROR(INDEX($Q$5:$Q$13,MATCH(C49,$P$5:$P$13,0)),"")</f>
        <v/>
      </c>
      <c r="J49" s="21" t="n"/>
      <c r="K49" s="38">
        <f>IF(OR(F49="",I49=""),"",IF(J49="3P",F49*1000/(SQRT(3)*$C$6*I49),F49*1000/($C$5*I49)))</f>
        <v/>
      </c>
      <c r="L49" s="39">
        <f>IF(K49="","",IF(K49&lt;=0,0,IF(K49&gt;MAX($T$5:$T$15),"—",INDEX($T$5:$T$15,COUNTIF($T$5:$T$15,"&lt;"&amp;K49)+1))))</f>
        <v/>
      </c>
      <c r="M49" s="38">
        <f>IF(ISNUMBER(L49),INDEX($U$5:$U$15,MATCH(L49,$T$5:$T$15,0)),"")</f>
        <v/>
      </c>
      <c r="N49" s="38">
        <f>IF(OR(H49="",I49=""),"",IF(J49="3P",H49*1000/(SQRT(3)*$C$6*I49),H49*1000/($C$5*I49)))</f>
        <v/>
      </c>
    </row>
    <row r="50">
      <c r="A50" s="33">
        <f>IF(B50="","",ROW()-17)</f>
        <v/>
      </c>
      <c r="B50" s="34" t="n"/>
      <c r="C50" s="21" t="n"/>
      <c r="D50" s="14" t="n"/>
      <c r="E50" s="35" t="n"/>
      <c r="F50" s="36">
        <f>IF(OR(D50="",E50=""),"",D50*E50/1000)</f>
        <v/>
      </c>
      <c r="G50" s="37">
        <f>IFERROR(INDEX($R$5:$R$13,MATCH(C50,$P$5:$P$13,0)),"")</f>
        <v/>
      </c>
      <c r="H50" s="36">
        <f>IF(OR(F50="",G50=""),"",F50*G50)</f>
        <v/>
      </c>
      <c r="I50" s="36">
        <f>IFERROR(INDEX($Q$5:$Q$13,MATCH(C50,$P$5:$P$13,0)),"")</f>
        <v/>
      </c>
      <c r="J50" s="21" t="n"/>
      <c r="K50" s="38">
        <f>IF(OR(F50="",I50=""),"",IF(J50="3P",F50*1000/(SQRT(3)*$C$6*I50),F50*1000/($C$5*I50)))</f>
        <v/>
      </c>
      <c r="L50" s="39">
        <f>IF(K50="","",IF(K50&lt;=0,0,IF(K50&gt;MAX($T$5:$T$15),"—",INDEX($T$5:$T$15,COUNTIF($T$5:$T$15,"&lt;"&amp;K50)+1))))</f>
        <v/>
      </c>
      <c r="M50" s="38">
        <f>IF(ISNUMBER(L50),INDEX($U$5:$U$15,MATCH(L50,$T$5:$T$15,0)),"")</f>
        <v/>
      </c>
      <c r="N50" s="38">
        <f>IF(OR(H50="",I50=""),"",IF(J50="3P",H50*1000/(SQRT(3)*$C$6*I50),H50*1000/($C$5*I50)))</f>
        <v/>
      </c>
    </row>
    <row r="51">
      <c r="A51" s="33">
        <f>IF(B51="","",ROW()-17)</f>
        <v/>
      </c>
      <c r="B51" s="34" t="n"/>
      <c r="C51" s="21" t="n"/>
      <c r="D51" s="14" t="n"/>
      <c r="E51" s="35" t="n"/>
      <c r="F51" s="36">
        <f>IF(OR(D51="",E51=""),"",D51*E51/1000)</f>
        <v/>
      </c>
      <c r="G51" s="37">
        <f>IFERROR(INDEX($R$5:$R$13,MATCH(C51,$P$5:$P$13,0)),"")</f>
        <v/>
      </c>
      <c r="H51" s="36">
        <f>IF(OR(F51="",G51=""),"",F51*G51)</f>
        <v/>
      </c>
      <c r="I51" s="36">
        <f>IFERROR(INDEX($Q$5:$Q$13,MATCH(C51,$P$5:$P$13,0)),"")</f>
        <v/>
      </c>
      <c r="J51" s="21" t="n"/>
      <c r="K51" s="38">
        <f>IF(OR(F51="",I51=""),"",IF(J51="3P",F51*1000/(SQRT(3)*$C$6*I51),F51*1000/($C$5*I51)))</f>
        <v/>
      </c>
      <c r="L51" s="39">
        <f>IF(K51="","",IF(K51&lt;=0,0,IF(K51&gt;MAX($T$5:$T$15),"—",INDEX($T$5:$T$15,COUNTIF($T$5:$T$15,"&lt;"&amp;K51)+1))))</f>
        <v/>
      </c>
      <c r="M51" s="38">
        <f>IF(ISNUMBER(L51),INDEX($U$5:$U$15,MATCH(L51,$T$5:$T$15,0)),"")</f>
        <v/>
      </c>
      <c r="N51" s="38">
        <f>IF(OR(H51="",I51=""),"",IF(J51="3P",H51*1000/(SQRT(3)*$C$6*I51),H51*1000/($C$5*I51)))</f>
        <v/>
      </c>
    </row>
    <row r="52">
      <c r="A52" s="33">
        <f>IF(B52="","",ROW()-17)</f>
        <v/>
      </c>
      <c r="B52" s="34" t="n"/>
      <c r="C52" s="21" t="n"/>
      <c r="D52" s="14" t="n"/>
      <c r="E52" s="35" t="n"/>
      <c r="F52" s="36">
        <f>IF(OR(D52="",E52=""),"",D52*E52/1000)</f>
        <v/>
      </c>
      <c r="G52" s="37">
        <f>IFERROR(INDEX($R$5:$R$13,MATCH(C52,$P$5:$P$13,0)),"")</f>
        <v/>
      </c>
      <c r="H52" s="36">
        <f>IF(OR(F52="",G52=""),"",F52*G52)</f>
        <v/>
      </c>
      <c r="I52" s="36">
        <f>IFERROR(INDEX($Q$5:$Q$13,MATCH(C52,$P$5:$P$13,0)),"")</f>
        <v/>
      </c>
      <c r="J52" s="21" t="n"/>
      <c r="K52" s="38">
        <f>IF(OR(F52="",I52=""),"",IF(J52="3P",F52*1000/(SQRT(3)*$C$6*I52),F52*1000/($C$5*I52)))</f>
        <v/>
      </c>
      <c r="L52" s="39">
        <f>IF(K52="","",IF(K52&lt;=0,0,IF(K52&gt;MAX($T$5:$T$15),"—",INDEX($T$5:$T$15,COUNTIF($T$5:$T$15,"&lt;"&amp;K52)+1))))</f>
        <v/>
      </c>
      <c r="M52" s="38">
        <f>IF(ISNUMBER(L52),INDEX($U$5:$U$15,MATCH(L52,$T$5:$T$15,0)),"")</f>
        <v/>
      </c>
      <c r="N52" s="38">
        <f>IF(OR(H52="",I52=""),"",IF(J52="3P",H52*1000/(SQRT(3)*$C$6*I52),H52*1000/($C$5*I52)))</f>
        <v/>
      </c>
    </row>
    <row r="53">
      <c r="A53" s="33">
        <f>IF(B53="","",ROW()-17)</f>
        <v/>
      </c>
      <c r="B53" s="34" t="n"/>
      <c r="C53" s="21" t="n"/>
      <c r="D53" s="14" t="n"/>
      <c r="E53" s="35" t="n"/>
      <c r="F53" s="36">
        <f>IF(OR(D53="",E53=""),"",D53*E53/1000)</f>
        <v/>
      </c>
      <c r="G53" s="37">
        <f>IFERROR(INDEX($R$5:$R$13,MATCH(C53,$P$5:$P$13,0)),"")</f>
        <v/>
      </c>
      <c r="H53" s="36">
        <f>IF(OR(F53="",G53=""),"",F53*G53)</f>
        <v/>
      </c>
      <c r="I53" s="36">
        <f>IFERROR(INDEX($Q$5:$Q$13,MATCH(C53,$P$5:$P$13,0)),"")</f>
        <v/>
      </c>
      <c r="J53" s="21" t="n"/>
      <c r="K53" s="38">
        <f>IF(OR(F53="",I53=""),"",IF(J53="3P",F53*1000/(SQRT(3)*$C$6*I53),F53*1000/($C$5*I53)))</f>
        <v/>
      </c>
      <c r="L53" s="39">
        <f>IF(K53="","",IF(K53&lt;=0,0,IF(K53&gt;MAX($T$5:$T$15),"—",INDEX($T$5:$T$15,COUNTIF($T$5:$T$15,"&lt;"&amp;K53)+1))))</f>
        <v/>
      </c>
      <c r="M53" s="38">
        <f>IF(ISNUMBER(L53),INDEX($U$5:$U$15,MATCH(L53,$T$5:$T$15,0)),"")</f>
        <v/>
      </c>
      <c r="N53" s="38">
        <f>IF(OR(H53="",I53=""),"",IF(J53="3P",H53*1000/(SQRT(3)*$C$6*I53),H53*1000/($C$5*I53)))</f>
        <v/>
      </c>
    </row>
    <row r="54">
      <c r="A54" s="33">
        <f>IF(B54="","",ROW()-17)</f>
        <v/>
      </c>
      <c r="B54" s="34" t="n"/>
      <c r="C54" s="21" t="n"/>
      <c r="D54" s="14" t="n"/>
      <c r="E54" s="35" t="n"/>
      <c r="F54" s="36">
        <f>IF(OR(D54="",E54=""),"",D54*E54/1000)</f>
        <v/>
      </c>
      <c r="G54" s="37">
        <f>IFERROR(INDEX($R$5:$R$13,MATCH(C54,$P$5:$P$13,0)),"")</f>
        <v/>
      </c>
      <c r="H54" s="36">
        <f>IF(OR(F54="",G54=""),"",F54*G54)</f>
        <v/>
      </c>
      <c r="I54" s="36">
        <f>IFERROR(INDEX($Q$5:$Q$13,MATCH(C54,$P$5:$P$13,0)),"")</f>
        <v/>
      </c>
      <c r="J54" s="21" t="n"/>
      <c r="K54" s="38">
        <f>IF(OR(F54="",I54=""),"",IF(J54="3P",F54*1000/(SQRT(3)*$C$6*I54),F54*1000/($C$5*I54)))</f>
        <v/>
      </c>
      <c r="L54" s="39">
        <f>IF(K54="","",IF(K54&lt;=0,0,IF(K54&gt;MAX($T$5:$T$15),"—",INDEX($T$5:$T$15,COUNTIF($T$5:$T$15,"&lt;"&amp;K54)+1))))</f>
        <v/>
      </c>
      <c r="M54" s="38">
        <f>IF(ISNUMBER(L54),INDEX($U$5:$U$15,MATCH(L54,$T$5:$T$15,0)),"")</f>
        <v/>
      </c>
      <c r="N54" s="38">
        <f>IF(OR(H54="",I54=""),"",IF(J54="3P",H54*1000/(SQRT(3)*$C$6*I54),H54*1000/($C$5*I54)))</f>
        <v/>
      </c>
    </row>
    <row r="55">
      <c r="A55" s="33">
        <f>IF(B55="","",ROW()-17)</f>
        <v/>
      </c>
      <c r="B55" s="34" t="n"/>
      <c r="C55" s="21" t="n"/>
      <c r="D55" s="14" t="n"/>
      <c r="E55" s="35" t="n"/>
      <c r="F55" s="36">
        <f>IF(OR(D55="",E55=""),"",D55*E55/1000)</f>
        <v/>
      </c>
      <c r="G55" s="37">
        <f>IFERROR(INDEX($R$5:$R$13,MATCH(C55,$P$5:$P$13,0)),"")</f>
        <v/>
      </c>
      <c r="H55" s="36">
        <f>IF(OR(F55="",G55=""),"",F55*G55)</f>
        <v/>
      </c>
      <c r="I55" s="36">
        <f>IFERROR(INDEX($Q$5:$Q$13,MATCH(C55,$P$5:$P$13,0)),"")</f>
        <v/>
      </c>
      <c r="J55" s="21" t="n"/>
      <c r="K55" s="38">
        <f>IF(OR(F55="",I55=""),"",IF(J55="3P",F55*1000/(SQRT(3)*$C$6*I55),F55*1000/($C$5*I55)))</f>
        <v/>
      </c>
      <c r="L55" s="39">
        <f>IF(K55="","",IF(K55&lt;=0,0,IF(K55&gt;MAX($T$5:$T$15),"—",INDEX($T$5:$T$15,COUNTIF($T$5:$T$15,"&lt;"&amp;K55)+1))))</f>
        <v/>
      </c>
      <c r="M55" s="38">
        <f>IF(ISNUMBER(L55),INDEX($U$5:$U$15,MATCH(L55,$T$5:$T$15,0)),"")</f>
        <v/>
      </c>
      <c r="N55" s="38">
        <f>IF(OR(H55="",I55=""),"",IF(J55="3P",H55*1000/(SQRT(3)*$C$6*I55),H55*1000/($C$5*I55)))</f>
        <v/>
      </c>
    </row>
    <row r="56">
      <c r="A56" s="33">
        <f>IF(B56="","",ROW()-17)</f>
        <v/>
      </c>
      <c r="B56" s="34" t="n"/>
      <c r="C56" s="21" t="n"/>
      <c r="D56" s="14" t="n"/>
      <c r="E56" s="35" t="n"/>
      <c r="F56" s="36">
        <f>IF(OR(D56="",E56=""),"",D56*E56/1000)</f>
        <v/>
      </c>
      <c r="G56" s="37">
        <f>IFERROR(INDEX($R$5:$R$13,MATCH(C56,$P$5:$P$13,0)),"")</f>
        <v/>
      </c>
      <c r="H56" s="36">
        <f>IF(OR(F56="",G56=""),"",F56*G56)</f>
        <v/>
      </c>
      <c r="I56" s="36">
        <f>IFERROR(INDEX($Q$5:$Q$13,MATCH(C56,$P$5:$P$13,0)),"")</f>
        <v/>
      </c>
      <c r="J56" s="21" t="n"/>
      <c r="K56" s="38">
        <f>IF(OR(F56="",I56=""),"",IF(J56="3P",F56*1000/(SQRT(3)*$C$6*I56),F56*1000/($C$5*I56)))</f>
        <v/>
      </c>
      <c r="L56" s="39">
        <f>IF(K56="","",IF(K56&lt;=0,0,IF(K56&gt;MAX($T$5:$T$15),"—",INDEX($T$5:$T$15,COUNTIF($T$5:$T$15,"&lt;"&amp;K56)+1))))</f>
        <v/>
      </c>
      <c r="M56" s="38">
        <f>IF(ISNUMBER(L56),INDEX($U$5:$U$15,MATCH(L56,$T$5:$T$15,0)),"")</f>
        <v/>
      </c>
      <c r="N56" s="38">
        <f>IF(OR(H56="",I56=""),"",IF(J56="3P",H56*1000/(SQRT(3)*$C$6*I56),H56*1000/($C$5*I56)))</f>
        <v/>
      </c>
    </row>
    <row r="57">
      <c r="A57" s="33">
        <f>IF(B57="","",ROW()-17)</f>
        <v/>
      </c>
      <c r="B57" s="34" t="n"/>
      <c r="C57" s="21" t="n"/>
      <c r="D57" s="14" t="n"/>
      <c r="E57" s="35" t="n"/>
      <c r="F57" s="36">
        <f>IF(OR(D57="",E57=""),"",D57*E57/1000)</f>
        <v/>
      </c>
      <c r="G57" s="37">
        <f>IFERROR(INDEX($R$5:$R$13,MATCH(C57,$P$5:$P$13,0)),"")</f>
        <v/>
      </c>
      <c r="H57" s="36">
        <f>IF(OR(F57="",G57=""),"",F57*G57)</f>
        <v/>
      </c>
      <c r="I57" s="36">
        <f>IFERROR(INDEX($Q$5:$Q$13,MATCH(C57,$P$5:$P$13,0)),"")</f>
        <v/>
      </c>
      <c r="J57" s="21" t="n"/>
      <c r="K57" s="38">
        <f>IF(OR(F57="",I57=""),"",IF(J57="3P",F57*1000/(SQRT(3)*$C$6*I57),F57*1000/($C$5*I57)))</f>
        <v/>
      </c>
      <c r="L57" s="39">
        <f>IF(K57="","",IF(K57&lt;=0,0,IF(K57&gt;MAX($T$5:$T$15),"—",INDEX($T$5:$T$15,COUNTIF($T$5:$T$15,"&lt;"&amp;K57)+1))))</f>
        <v/>
      </c>
      <c r="M57" s="38">
        <f>IF(ISNUMBER(L57),INDEX($U$5:$U$15,MATCH(L57,$T$5:$T$15,0)),"")</f>
        <v/>
      </c>
      <c r="N57" s="38">
        <f>IF(OR(H57="",I57=""),"",IF(J57="3P",H57*1000/(SQRT(3)*$C$6*I57),H57*1000/($C$5*I57)))</f>
        <v/>
      </c>
    </row>
    <row r="58">
      <c r="A58" s="40" t="inlineStr">
        <is>
          <t>Total</t>
        </is>
      </c>
      <c r="B58" s="41" t="n"/>
      <c r="C58" s="41" t="n"/>
      <c r="D58" s="41" t="n"/>
      <c r="E58" s="41" t="n"/>
      <c r="F58" s="42">
        <f>SUM(F18:F57)</f>
        <v/>
      </c>
      <c r="G58" s="43" t="inlineStr"/>
      <c r="H58" s="42">
        <f>SUM(H18:H57)</f>
        <v/>
      </c>
    </row>
  </sheetData>
  <sheetProtection selectLockedCells="0" selectUnlockedCells="0" sheet="1" objects="0" insertRows="1" insertHyperlinks="1" autoFilter="0" scenarios="0" formatColumns="0" deleteColumns="1" insertColumns="1" pivotTables="1" deleteRows="1" formatCells="0" formatRows="0" sort="0"/>
  <mergeCells count="28">
    <mergeCell ref="A58:E58"/>
    <mergeCell ref="F5:H5"/>
    <mergeCell ref="A4:D4"/>
    <mergeCell ref="L5:N5"/>
    <mergeCell ref="I12:K12"/>
    <mergeCell ref="G8:H8"/>
    <mergeCell ref="L4:N4"/>
    <mergeCell ref="A6:B6"/>
    <mergeCell ref="A1:N1"/>
    <mergeCell ref="A7:B7"/>
    <mergeCell ref="G7:H7"/>
    <mergeCell ref="F13:H13"/>
    <mergeCell ref="I5:K5"/>
    <mergeCell ref="A16:N16"/>
    <mergeCell ref="G10:H10"/>
    <mergeCell ref="I4:K4"/>
    <mergeCell ref="L11:N11"/>
    <mergeCell ref="I13:K13"/>
    <mergeCell ref="A2:N2"/>
    <mergeCell ref="A5:B5"/>
    <mergeCell ref="F4:H4"/>
    <mergeCell ref="A8:B8"/>
    <mergeCell ref="F11:H11"/>
    <mergeCell ref="I11:K11"/>
    <mergeCell ref="L13:N13"/>
    <mergeCell ref="F12:H12"/>
    <mergeCell ref="L12:N12"/>
    <mergeCell ref="G9:H9"/>
  </mergeCells>
  <conditionalFormatting sqref="J18:J57">
    <cfRule type="expression" priority="1" dxfId="0">
      <formula>J18="3P"</formula>
    </cfRule>
  </conditionalFormatting>
  <dataValidations count="8">
    <dataValidation sqref="C5" showDropDown="0" showInputMessage="0" showErrorMessage="1" allowBlank="1" errorTitle="Sheetaky" error="Enter a number between 100 and 300" type="whole" operator="between">
      <formula1>100</formula1>
      <formula2>300</formula2>
    </dataValidation>
    <dataValidation sqref="C6" showDropDown="0" showInputMessage="0" showErrorMessage="1" allowBlank="1" errorTitle="Sheetaky" error="Enter a number between 200 and 500" type="whole" operator="between">
      <formula1>200</formula1>
      <formula2>500</formula2>
    </dataValidation>
    <dataValidation sqref="C7" showDropDown="0" showInputMessage="0" showErrorMessage="1" allowBlank="1" errorTitle="Sheetaky" error="Enter a number between 0 and 1" type="decimal" operator="between">
      <formula1>0</formula1>
      <formula2>1</formula2>
    </dataValidation>
    <dataValidation sqref="C8" showDropDown="0" showInputMessage="0" showErrorMessage="1" allowBlank="1" errorTitle="Sheetaky" error="Enter a number between 0 and 1" type="decimal" operator="between">
      <formula1>0</formula1>
      <formula2>1</formula2>
    </dataValidation>
    <dataValidation sqref="D18:D57" showDropDown="0" showInputMessage="0" showErrorMessage="1" allowBlank="1" errorTitle="Sheetaky" error="Enter a number between 0 and 1000" type="whole" operator="between">
      <formula1>0</formula1>
      <formula2>1000</formula2>
    </dataValidation>
    <dataValidation sqref="E18:E57" showDropDown="0" showInputMessage="0" showErrorMessage="1" allowBlank="1" errorTitle="Sheetaky" error="Enter a number between 0 and 100000" type="decimal" operator="between">
      <formula1>0</formula1>
      <formula2>100000</formula2>
    </dataValidation>
    <dataValidation sqref="C18:C57" showDropDown="0" showInputMessage="0" showErrorMessage="1" allowBlank="1" errorTitle="Sheetaky" error="Pick a value from the list" type="list">
      <formula1>=$P$5:$P$13</formula1>
    </dataValidation>
    <dataValidation sqref="J18:J57" showDropDown="0" showInputMessage="0" showErrorMessage="1" allowBlank="1" errorTitle="Sheetaky" error="Pick a value from the list" type="list">
      <formula1>"L1,L2,L3,3P"</formula1>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drawing xmlns:r="http://schemas.openxmlformats.org/officeDocument/2006/relationships" r:id="rId1"/>
</worksheet>
</file>

<file path=xl/worksheets/sheet2.xml><?xml version="1.0" encoding="utf-8"?>
<worksheet xmlns="http://schemas.openxmlformats.org/spreadsheetml/2006/main">
  <sheetPr>
    <tabColor rgb="00D4A72C"/>
    <outlinePr summaryBelow="1" summaryRight="1"/>
    <pageSetUpPr fitToPage="1"/>
  </sheetPr>
  <dimension ref="A1:B24"/>
  <sheetViews>
    <sheetView showGridLines="0" rightToLeft="0" zoomScale="100" workbookViewId="0">
      <selection activeCell="A1" sqref="A1"/>
    </sheetView>
  </sheetViews>
  <sheetFormatPr baseColWidth="8" defaultRowHeight="15"/>
  <cols>
    <col width="4" customWidth="1" min="1" max="1"/>
    <col width="92" customWidth="1" min="2" max="2"/>
  </cols>
  <sheetData>
    <row r="1" ht="36" customHeight="1">
      <c r="A1" s="1" t="inlineStr">
        <is>
          <t>How to use: Villa Load Schedule: Distribution Board, Breakers, Cables and Phase Balance</t>
        </is>
      </c>
      <c r="B1" s="2" t="n"/>
    </row>
    <row r="2" ht="18" customHeight="1">
      <c r="A2" s="3" t="inlineStr">
        <is>
          <t>Sheetaky.com · Ready Excel sheets in Arabic and English</t>
        </is>
      </c>
      <c r="B2" s="4" t="n"/>
    </row>
    <row r="4" ht="22" customHeight="1">
      <c r="A4" s="5" t="inlineStr">
        <is>
          <t>What is this sheet?</t>
        </is>
      </c>
      <c r="B4" s="6" t="n"/>
    </row>
    <row r="5" ht="45" customHeight="1">
      <c r="A5" s="44" t="inlineStr">
        <is>
          <t>The sheet lists the villa circuits by type and computes each current, standard breaker and cable, then sums the demand on the three phases and shows imbalance, the main breaker and the number of board ways.</t>
        </is>
      </c>
    </row>
    <row r="7" ht="22" customHeight="1">
      <c r="A7" s="5" t="inlineStr">
        <is>
          <t>Steps</t>
        </is>
      </c>
      <c r="B7" s="6" t="n"/>
    </row>
    <row r="8" ht="20" customHeight="1">
      <c r="A8" s="45" t="n">
        <v>1</v>
      </c>
      <c r="B8" s="44" t="inlineStr">
        <is>
          <t>Enter each circuit: name, type, quantity and W each.</t>
        </is>
      </c>
    </row>
    <row r="9" ht="20" customHeight="1">
      <c r="A9" s="45" t="n">
        <v>2</v>
      </c>
      <c r="B9" s="44" t="inlineStr">
        <is>
          <t>Pick a phase for each circuit (L1, L2, L3, or 3P for three-phase loads).</t>
        </is>
      </c>
    </row>
    <row r="10" ht="20" customHeight="1">
      <c r="A10" s="45" t="n">
        <v>3</v>
      </c>
      <c r="B10" s="44" t="inlineStr">
        <is>
          <t>Watch the phase imbalance and move circuits between phases until it is good.</t>
        </is>
      </c>
    </row>
    <row r="11" ht="20" customHeight="1">
      <c r="A11" s="45" t="n">
        <v>4</v>
      </c>
      <c r="B11" s="44" t="inlineStr">
        <is>
          <t>Read the main breaker and the suggested number of board ways.</t>
        </is>
      </c>
    </row>
    <row r="13" ht="22" customHeight="1">
      <c r="A13" s="5" t="inlineStr">
        <is>
          <t>Color legend</t>
        </is>
      </c>
      <c r="B13" s="6" t="n"/>
    </row>
    <row r="14">
      <c r="A14" s="34" t="inlineStr"/>
      <c r="B14" s="44" t="inlineStr">
        <is>
          <t>Input cell: type or choose your value here (blue text on yellow).</t>
        </is>
      </c>
    </row>
    <row r="15">
      <c r="A15" s="46" t="inlineStr"/>
      <c r="B15" s="44" t="inlineStr">
        <is>
          <t>Calculated cell: automatic formula, protected from accidental edits.</t>
        </is>
      </c>
    </row>
    <row r="16">
      <c r="A16" s="47" t="inlineStr"/>
      <c r="B16" s="44" t="inlineStr">
        <is>
          <t>Table and section headers.</t>
        </is>
      </c>
    </row>
    <row r="18" ht="22" customHeight="1">
      <c r="A18" s="5" t="inlineStr">
        <is>
          <t>Important notes</t>
        </is>
      </c>
      <c r="B18" s="6" t="n"/>
    </row>
    <row r="19" ht="30" customHeight="1">
      <c r="A19" s="48" t="inlineStr">
        <is>
          <t>•</t>
        </is>
      </c>
      <c r="B19" s="49" t="inlineStr">
        <is>
          <t>Demand factors, power factors and the breaker-cable table in columns P to U are editable to suit your local code.</t>
        </is>
      </c>
    </row>
    <row r="20" ht="30" customHeight="1">
      <c r="A20" s="48" t="inlineStr">
        <is>
          <t>•</t>
        </is>
      </c>
      <c r="B20" s="49" t="inlineStr">
        <is>
          <t>Cable choice is simplified for branch circuits in conduit; long runs need a voltage-drop check with the cable selection sheet.</t>
        </is>
      </c>
    </row>
    <row r="21" ht="20" customHeight="1">
      <c r="A21" s="48" t="inlineStr">
        <is>
          <t>•</t>
        </is>
      </c>
      <c r="B21" s="49" t="inlineStr">
        <is>
          <t>A preliminary result to be approved by an electrical engineer.</t>
        </is>
      </c>
    </row>
    <row r="22" ht="30" customHeight="1">
      <c r="A22" s="48" t="inlineStr">
        <is>
          <t>•</t>
        </is>
      </c>
      <c r="B22" s="49" t="inlineStr">
        <is>
          <t>Sheets are protected without a password to keep formulas safe. To unprotect: Review → Unprotect Sheet.</t>
        </is>
      </c>
    </row>
    <row r="23" ht="20" customHeight="1">
      <c r="A23" s="48" t="inlineStr">
        <is>
          <t>•</t>
        </is>
      </c>
      <c r="B23" s="49" t="inlineStr">
        <is>
          <t>The data shown is a worked example. Clear it and type your own data in the yellow cells only.</t>
        </is>
      </c>
    </row>
    <row r="24" ht="20" customHeight="1">
      <c r="A24" s="48" t="inlineStr">
        <is>
          <t>•</t>
        </is>
      </c>
      <c r="B24" s="49" t="inlineStr">
        <is>
          <t>More free sheets in Arabic and English at Sheetaky.com</t>
        </is>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2:B2"/>
    <mergeCell ref="A7:B7"/>
    <mergeCell ref="A5:B5"/>
    <mergeCell ref="A13:B13"/>
    <mergeCell ref="A1:B1"/>
    <mergeCell ref="A18:B18"/>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Sheetaky.com</dc:creator>
  <dc:title xmlns:dc="http://purl.org/dc/elements/1.1/">VIL</dc:title>
  <dcterms:created xmlns:dcterms="http://purl.org/dc/terms/" xmlns:xsi="http://www.w3.org/2001/XMLSchema-instance" xsi:type="dcterms:W3CDTF">2026-10-23T12:32:02Z</dcterms:created>
  <dcterms:modified xmlns:dcterms="http://purl.org/dc/terms/" xmlns:xsi="http://www.w3.org/2001/XMLSchema-instance" xsi:type="dcterms:W3CDTF">2026-10-23T12:32:02Z</dcterms:modified>
</cp:coreProperties>
</file>