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M Converte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.000"/>
    <numFmt numFmtId="165" formatCode="0.000000000"/>
    <numFmt numFmtId="166" formatCode="0.0000"/>
    <numFmt numFmtId="167" formatCode="0.000000000000"/>
    <numFmt numFmtId="168" formatCode="0.000000"/>
    <numFmt numFmtId="169" formatCode="#,##0.000"/>
  </numFmts>
  <fonts count="12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6B7280"/>
      <sz val="9"/>
    </font>
    <font>
      <name val="Segoe UI"/>
      <b val="1"/>
      <color rgb="00FFFFFF"/>
      <sz val="10"/>
    </font>
    <font>
      <name val="Segoe UI"/>
      <color rgb="00111827"/>
      <sz val="10"/>
    </font>
    <font>
      <name val="Segoe UI"/>
      <b val="1"/>
      <color rgb="00030712"/>
      <sz val="11"/>
    </font>
    <font>
      <name val="Segoe UI"/>
      <b val="1"/>
      <color rgb="00111827"/>
      <sz val="10"/>
    </font>
    <font>
      <name val="Segoe UI"/>
      <color rgb="001F4FB5"/>
      <sz val="10"/>
    </font>
    <font>
      <name val="Segoe UI"/>
      <b val="1"/>
      <color rgb="00030712"/>
      <sz val="10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FB7185"/>
      <sz val="10"/>
    </font>
  </fonts>
  <fills count="8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11827"/>
      </patternFill>
    </fill>
    <fill>
      <patternFill patternType="solid">
        <fgColor rgb="00FB7185"/>
      </patternFill>
    </fill>
    <fill>
      <patternFill patternType="solid">
        <fgColor rgb="00E5E7EB"/>
      </patternFill>
    </fill>
    <fill>
      <patternFill patternType="solid">
        <fgColor rgb="00FFE4E6"/>
      </patternFill>
    </fill>
    <fill>
      <patternFill patternType="solid">
        <fgColor rgb="0003071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 wrapText="1" readingOrder="1"/>
    </xf>
    <xf numFmtId="0" fontId="5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4" fillId="0" borderId="1" applyAlignment="1" pivotButton="0" quotePrefix="0" xfId="0">
      <alignment horizontal="center" vertical="center" wrapText="1" readingOrder="1"/>
    </xf>
    <xf numFmtId="164" fontId="4" fillId="0" borderId="1" applyAlignment="1" pivotButton="0" quotePrefix="0" xfId="0">
      <alignment horizontal="center" vertical="center" wrapText="1" readingOrder="1"/>
    </xf>
    <xf numFmtId="165" fontId="4" fillId="0" borderId="1" applyAlignment="1" pivotButton="0" quotePrefix="0" xfId="0">
      <alignment horizontal="center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7" fillId="6" borderId="1" applyAlignment="1" applyProtection="1" pivotButton="0" quotePrefix="0" xfId="0">
      <alignment horizontal="center" vertical="center" wrapText="1" readingOrder="1"/>
      <protection locked="0" hidden="0"/>
    </xf>
    <xf numFmtId="166" fontId="7" fillId="6" borderId="1" applyAlignment="1" applyProtection="1" pivotButton="0" quotePrefix="0" xfId="0">
      <alignment horizontal="center" vertical="center" wrapText="1" readingOrder="1"/>
      <protection locked="0" hidden="0"/>
    </xf>
    <xf numFmtId="3" fontId="7" fillId="6" borderId="1" applyAlignment="1" applyProtection="1" pivotButton="0" quotePrefix="0" xfId="0">
      <alignment horizontal="center" vertical="center" wrapText="1" readingOrder="1"/>
      <protection locked="0" hidden="0"/>
    </xf>
    <xf numFmtId="0" fontId="8" fillId="5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164" fontId="4" fillId="5" borderId="1" applyAlignment="1" pivotButton="0" quotePrefix="0" xfId="0">
      <alignment horizontal="center" vertical="center" wrapText="1" readingOrder="1"/>
    </xf>
    <xf numFmtId="0" fontId="2" fillId="2" borderId="0" applyAlignment="1" pivotButton="0" quotePrefix="0" xfId="0">
      <alignment horizontal="left" vertical="center" wrapText="1" readingOrder="1"/>
    </xf>
    <xf numFmtId="165" fontId="4" fillId="5" borderId="1" applyAlignment="1" pivotButton="0" quotePrefix="0" xfId="0">
      <alignment horizontal="center" vertical="center" wrapText="1" readingOrder="1"/>
    </xf>
    <xf numFmtId="167" fontId="4" fillId="5" borderId="1" applyAlignment="1" pivotButton="0" quotePrefix="0" xfId="0">
      <alignment horizontal="center" vertical="center" wrapText="1" readingOrder="1"/>
    </xf>
    <xf numFmtId="166" fontId="4" fillId="5" borderId="1" applyAlignment="1" pivotButton="0" quotePrefix="0" xfId="0">
      <alignment horizontal="center" vertical="center" wrapText="1" readingOrder="1"/>
    </xf>
    <xf numFmtId="1" fontId="7" fillId="6" borderId="1" applyAlignment="1" applyProtection="1" pivotButton="0" quotePrefix="0" xfId="0">
      <alignment horizontal="center" vertical="center" wrapText="1" readingOrder="1"/>
      <protection locked="0" hidden="0"/>
    </xf>
    <xf numFmtId="168" fontId="7" fillId="6" borderId="1" applyAlignment="1" applyProtection="1" pivotButton="0" quotePrefix="0" xfId="0">
      <alignment horizontal="center" vertical="center" wrapText="1" readingOrder="1"/>
      <protection locked="0" hidden="0"/>
    </xf>
    <xf numFmtId="1" fontId="4" fillId="5" borderId="1" applyAlignment="1" pivotButton="0" quotePrefix="0" xfId="0">
      <alignment horizontal="center" vertical="center" wrapText="1" readingOrder="1"/>
    </xf>
    <xf numFmtId="0" fontId="4" fillId="5" borderId="1" applyAlignment="1" pivotButton="0" quotePrefix="0" xfId="0">
      <alignment horizontal="center" vertical="center" wrapText="1" readingOrder="1"/>
    </xf>
    <xf numFmtId="169" fontId="4" fillId="5" borderId="1" applyAlignment="1" pivotButton="0" quotePrefix="0" xfId="0">
      <alignment horizontal="center" vertical="center" wrapText="1" readingOrder="1"/>
    </xf>
    <xf numFmtId="169" fontId="7" fillId="6" borderId="1" applyAlignment="1" applyProtection="1" pivotButton="0" quotePrefix="0" xfId="0">
      <alignment horizontal="center" vertical="center" wrapText="1" readingOrder="1"/>
      <protection locked="0" hidden="0"/>
    </xf>
    <xf numFmtId="168" fontId="4" fillId="5" borderId="1" applyAlignment="1" pivotButton="0" quotePrefix="0" xfId="0">
      <alignment horizontal="center" vertical="center" wrapText="1" readingOrder="1"/>
    </xf>
    <xf numFmtId="0" fontId="9" fillId="3" borderId="0" applyAlignment="1" pivotButton="0" quotePrefix="0" xfId="0">
      <alignment horizontal="center" vertical="center" wrapText="1" readingOrder="1"/>
    </xf>
    <xf numFmtId="0" fontId="10" fillId="7" borderId="0" applyAlignment="1" pivotButton="0" quotePrefix="0" xfId="0">
      <alignment horizontal="center" vertical="center" wrapText="1" readingOrder="1"/>
    </xf>
    <xf numFmtId="0" fontId="0" fillId="7" borderId="0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0" fontId="7" fillId="6" borderId="1" applyAlignment="1" applyProtection="1" pivotButton="0" quotePrefix="0" xfId="0">
      <alignment horizontal="left" vertical="center" wrapText="1" readingOrder="1"/>
      <protection locked="0" hidden="0"/>
    </xf>
    <xf numFmtId="0" fontId="4" fillId="5" borderId="1" applyAlignment="1" pivotButton="0" quotePrefix="0" xfId="0">
      <alignment horizontal="left" vertical="center" wrapText="1" readingOrder="1"/>
    </xf>
    <xf numFmtId="0" fontId="4" fillId="3" borderId="1" applyAlignment="1" pivotButton="0" quotePrefix="0" xfId="0">
      <alignment horizontal="left" vertical="center" wrapText="1" readingOrder="1"/>
    </xf>
    <xf numFmtId="0" fontId="11" fillId="0" borderId="0" applyAlignment="1" pivotButton="0" quotePrefix="0" xfId="0">
      <alignment horizontal="left" vertical="center" wrapText="1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V70"/>
  <sheetViews>
    <sheetView showGridLines="0" rightToLeft="0" zoomScale="10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2" customWidth="1" min="3" max="3"/>
    <col width="12" customWidth="1" min="4" max="4"/>
    <col width="7" customWidth="1" min="5" max="5"/>
    <col width="6" customWidth="1" min="6" max="6"/>
    <col width="15" customWidth="1" min="7" max="7"/>
    <col width="16" customWidth="1" min="8" max="8"/>
    <col width="7" customWidth="1" min="9" max="9"/>
    <col width="3" customWidth="1" min="10" max="10"/>
    <col outlineLevel="1" width="11" customWidth="1" min="11" max="11"/>
    <col outlineLevel="1" width="11" customWidth="1" min="12" max="12"/>
    <col outlineLevel="1" width="11" customWidth="1" min="13" max="13"/>
    <col outlineLevel="1" width="11" customWidth="1" min="14" max="14"/>
    <col outlineLevel="1" width="11" customWidth="1" min="15" max="15"/>
    <col width="11" customWidth="1" min="16" max="16"/>
    <col width="11" customWidth="1" min="17" max="17"/>
    <col width="11" customWidth="1" min="18" max="18"/>
    <col width="3" customWidth="1" min="19" max="19"/>
    <col width="22" customWidth="1" min="20" max="20"/>
    <col width="14" customWidth="1" min="21" max="21"/>
    <col width="14" customWidth="1" min="22" max="22"/>
  </cols>
  <sheetData>
    <row r="1" ht="40" customHeight="1">
      <c r="A1" s="1" t="inlineStr">
        <is>
          <t>UTM ⇄ Geographic Coordinate Converter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20" customHeight="1">
      <c r="A3" s="4" t="inlineStr">
        <is>
          <t>Convert latitude/longitude to UTM (easting/northing) and back with Krüger series; choose the ellipsoid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</row>
    <row r="4" ht="30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T4" s="6" t="inlineStr">
        <is>
          <t>Ellipsoid</t>
        </is>
      </c>
      <c r="U4" s="6" t="inlineStr">
        <is>
          <t>a (m)</t>
        </is>
      </c>
      <c r="V4" s="6" t="inlineStr">
        <is>
          <t>1/f</t>
        </is>
      </c>
    </row>
    <row r="5" ht="22" customHeight="1">
      <c r="A5" s="7" t="inlineStr">
        <is>
          <t>Ellipsoid settings</t>
        </is>
      </c>
      <c r="B5" s="8" t="n"/>
      <c r="C5" s="8" t="n"/>
      <c r="D5" s="8" t="n"/>
      <c r="E5" s="8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T5" s="9" t="inlineStr">
        <is>
          <t>WGS84</t>
        </is>
      </c>
      <c r="U5" s="10" t="n">
        <v>6378137</v>
      </c>
      <c r="V5" s="11" t="n">
        <v>298.257223563</v>
      </c>
    </row>
    <row r="6">
      <c r="A6" s="12" t="inlineStr">
        <is>
          <t>Ellipsoid</t>
        </is>
      </c>
      <c r="C6" s="13" t="inlineStr">
        <is>
          <t>WGS84</t>
        </is>
      </c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T6" s="9" t="inlineStr">
        <is>
          <t>GRS80</t>
        </is>
      </c>
      <c r="U6" s="10" t="n">
        <v>6378137</v>
      </c>
      <c r="V6" s="11" t="n">
        <v>298.257222101</v>
      </c>
    </row>
    <row r="7">
      <c r="A7" s="12" t="inlineStr">
        <is>
          <t>Scale factor k0</t>
        </is>
      </c>
      <c r="C7" s="14" t="n">
        <v>0.9996</v>
      </c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T7" s="9" t="inlineStr">
        <is>
          <t>Clarke 1880 (IGN)</t>
        </is>
      </c>
      <c r="U7" s="10" t="n">
        <v>6378249.145</v>
      </c>
      <c r="V7" s="11" t="n">
        <v>293.465</v>
      </c>
    </row>
    <row r="8">
      <c r="A8" s="12" t="inlineStr">
        <is>
          <t>False easting E0</t>
        </is>
      </c>
      <c r="C8" s="15" t="n">
        <v>500000</v>
      </c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</row>
    <row r="9">
      <c r="A9" s="12" t="inlineStr">
        <is>
          <t>False northing (south)</t>
        </is>
      </c>
      <c r="C9" s="15" t="n">
        <v>10000000</v>
      </c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T9" s="16" t="inlineStr">
        <is>
          <t>Computed constants</t>
        </is>
      </c>
    </row>
    <row r="10" ht="22" customHeight="1">
      <c r="A10" s="7" t="inlineStr">
        <is>
          <t>1) Latitude / longitude → UTM</t>
        </is>
      </c>
      <c r="B10" s="8" t="n"/>
      <c r="C10" s="8" t="n"/>
      <c r="D10" s="8" t="n"/>
      <c r="E10" s="8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T10" s="17" t="inlineStr">
        <is>
          <t>a</t>
        </is>
      </c>
      <c r="U10" s="18">
        <f>INDEX($U$5:$U$7,MATCH($C$6,$T$5:$T$7,0))</f>
        <v/>
      </c>
    </row>
    <row r="11" ht="28" customHeight="1">
      <c r="A11" s="19" t="inlineStr">
        <is>
          <t>Latitude north is positive and south negative; longitude east is positive.</t>
        </is>
      </c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T11" s="17" t="inlineStr">
        <is>
          <t>1/f</t>
        </is>
      </c>
      <c r="U11" s="20">
        <f>INDEX($V$5:$V$7,MATCH($C$6,$T$5:$T$7,0))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T12" s="17" t="inlineStr">
        <is>
          <t>n</t>
        </is>
      </c>
      <c r="U12" s="21">
        <f>1/(2*$U$11-1)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T13" s="17" t="inlineStr">
        <is>
          <t>A</t>
        </is>
      </c>
      <c r="U13" s="22">
        <f>$U$10/(1+$U$12)*(1+$U$12^2/4+$U$12^4/64+$U$12^6/256)</f>
        <v/>
      </c>
    </row>
    <row r="14" ht="34" customHeight="1">
      <c r="A14" s="6" t="inlineStr">
        <is>
          <t>#</t>
        </is>
      </c>
      <c r="B14" s="6" t="inlineStr">
        <is>
          <t>Name</t>
        </is>
      </c>
      <c r="C14" s="6" t="inlineStr">
        <is>
          <t>Lat °</t>
        </is>
      </c>
      <c r="D14" s="6" t="inlineStr">
        <is>
          <t>Lon °</t>
        </is>
      </c>
      <c r="E14" s="6" t="inlineStr">
        <is>
          <t>Zone</t>
        </is>
      </c>
      <c r="F14" s="6" t="inlineStr">
        <is>
          <t>Hem</t>
        </is>
      </c>
      <c r="G14" s="6" t="inlineStr">
        <is>
          <t>E (m)</t>
        </is>
      </c>
      <c r="H14" s="6" t="inlineStr">
        <is>
          <t>N (m)</t>
        </is>
      </c>
      <c r="I14" s="6" t="inlineStr">
        <is>
          <t>Conv °</t>
        </is>
      </c>
      <c r="J14" s="5" t="n"/>
      <c r="K14" s="5" t="n"/>
      <c r="L14" s="6" t="inlineStr">
        <is>
          <t>t</t>
        </is>
      </c>
      <c r="M14" s="6" t="inlineStr">
        <is>
          <t>ξ'</t>
        </is>
      </c>
      <c r="N14" s="6" t="inlineStr">
        <is>
          <t>η'</t>
        </is>
      </c>
      <c r="O14" s="6" t="inlineStr">
        <is>
          <t>ξ</t>
        </is>
      </c>
      <c r="P14" s="6" t="inlineStr">
        <is>
          <t>η</t>
        </is>
      </c>
      <c r="Q14" s="5" t="n"/>
      <c r="R14" s="5" t="n"/>
      <c r="T14" s="17" t="inlineStr">
        <is>
          <t>α1</t>
        </is>
      </c>
      <c r="U14" s="21">
        <f>$U$12/2-2*$U$12^2/3+5*$U$12^3/16+41*$U$12^4/180</f>
        <v/>
      </c>
    </row>
    <row r="15">
      <c r="A15" s="23" t="n">
        <v>1</v>
      </c>
      <c r="B15" s="13" t="inlineStr">
        <is>
          <t>Riyadh</t>
        </is>
      </c>
      <c r="C15" s="24" t="n">
        <v>24.7136</v>
      </c>
      <c r="D15" s="24" t="n">
        <v>46.6753</v>
      </c>
      <c r="E15" s="25">
        <f>IF(AND(ISNUMBER(C15),ISNUMBER(D15)),INT((D15+180)/6)+1,"")</f>
        <v/>
      </c>
      <c r="F15" s="26">
        <f>IF(E15="","",IF(C15&gt;=0,"N","S"))</f>
        <v/>
      </c>
      <c r="G15" s="27">
        <f>IF(E15="","",$C$8+$C$7*$U$13*O15)</f>
        <v/>
      </c>
      <c r="H15" s="27">
        <f>IF(E15="","",IF(C15&gt;=0,0,$C$9)+$C$7*$U$13*N15)</f>
        <v/>
      </c>
      <c r="I15" s="22">
        <f>IF(E15="","",DEGREES(ATAN(TAN(RADIANS(D15-((E15-1)*6-180+3)))*SIN(RADIANS(C15)))))</f>
        <v/>
      </c>
      <c r="J15" s="5" t="n"/>
      <c r="K15" s="20">
        <f>IF(E15="","",SINH(ATANH(SIN(RADIANS(C15)))-(2*SQRT($U$12)/(1+$U$12))*ATANH((2*SQRT($U$12)/(1+$U$12))*SIN(RADIANS(C15)))))</f>
        <v/>
      </c>
      <c r="L15" s="20">
        <f>IF(E15="","",ATAN(K15/COS(RADIANS(D15-((E15-1)*6-180+3)))))</f>
        <v/>
      </c>
      <c r="M15" s="20">
        <f>IF(E15="","",ATANH(SIN(RADIANS(D15-((E15-1)*6-180+3)))/SQRT(1+K15^2)))</f>
        <v/>
      </c>
      <c r="N15" s="20">
        <f>IF(E15="","",L15+$U$14*SIN(2*L15)*COSH(2*M15)+$U$15*SIN(4*L15)*COSH(4*M15)+$U$16*SIN(6*L15)*COSH(6*M15)+$U$17*SIN(8*L15)*COSH(8*M15))</f>
        <v/>
      </c>
      <c r="O15" s="20">
        <f>IF(E15="","",M15+$U$14*COS(2*L15)*SINH(2*M15)+$U$15*COS(4*L15)*SINH(4*M15)+$U$16*COS(6*L15)*SINH(6*M15)+$U$17*COS(8*L15)*SINH(8*M15))</f>
        <v/>
      </c>
      <c r="P15" s="5" t="n"/>
      <c r="Q15" s="5" t="n"/>
      <c r="R15" s="5" t="n"/>
      <c r="T15" s="17" t="inlineStr">
        <is>
          <t>α2</t>
        </is>
      </c>
      <c r="U15" s="21">
        <f>13*$U$12^2/48-3*$U$12^3/5+557*$U$12^4/1440</f>
        <v/>
      </c>
    </row>
    <row r="16">
      <c r="A16" s="23" t="n">
        <v>2</v>
      </c>
      <c r="B16" s="13" t="inlineStr">
        <is>
          <t>Jeddah</t>
        </is>
      </c>
      <c r="C16" s="24" t="n">
        <v>21.4858</v>
      </c>
      <c r="D16" s="24" t="n">
        <v>39.1925</v>
      </c>
      <c r="E16" s="25">
        <f>IF(AND(ISNUMBER(C16),ISNUMBER(D16)),INT((D16+180)/6)+1,"")</f>
        <v/>
      </c>
      <c r="F16" s="26">
        <f>IF(E16="","",IF(C16&gt;=0,"N","S"))</f>
        <v/>
      </c>
      <c r="G16" s="27">
        <f>IF(E16="","",$C$8+$C$7*$U$13*O16)</f>
        <v/>
      </c>
      <c r="H16" s="27">
        <f>IF(E16="","",IF(C16&gt;=0,0,$C$9)+$C$7*$U$13*N16)</f>
        <v/>
      </c>
      <c r="I16" s="22">
        <f>IF(E16="","",DEGREES(ATAN(TAN(RADIANS(D16-((E16-1)*6-180+3)))*SIN(RADIANS(C16)))))</f>
        <v/>
      </c>
      <c r="J16" s="5" t="n"/>
      <c r="K16" s="20">
        <f>IF(E16="","",SINH(ATANH(SIN(RADIANS(C16)))-(2*SQRT($U$12)/(1+$U$12))*ATANH((2*SQRT($U$12)/(1+$U$12))*SIN(RADIANS(C16)))))</f>
        <v/>
      </c>
      <c r="L16" s="20">
        <f>IF(E16="","",ATAN(K16/COS(RADIANS(D16-((E16-1)*6-180+3)))))</f>
        <v/>
      </c>
      <c r="M16" s="20">
        <f>IF(E16="","",ATANH(SIN(RADIANS(D16-((E16-1)*6-180+3)))/SQRT(1+K16^2)))</f>
        <v/>
      </c>
      <c r="N16" s="20">
        <f>IF(E16="","",L16+$U$14*SIN(2*L16)*COSH(2*M16)+$U$15*SIN(4*L16)*COSH(4*M16)+$U$16*SIN(6*L16)*COSH(6*M16)+$U$17*SIN(8*L16)*COSH(8*M16))</f>
        <v/>
      </c>
      <c r="O16" s="20">
        <f>IF(E16="","",M16+$U$14*COS(2*L16)*SINH(2*M16)+$U$15*COS(4*L16)*SINH(4*M16)+$U$16*COS(6*L16)*SINH(6*M16)+$U$17*COS(8*L16)*SINH(8*M16))</f>
        <v/>
      </c>
      <c r="P16" s="5" t="n"/>
      <c r="Q16" s="5" t="n"/>
      <c r="R16" s="5" t="n"/>
      <c r="T16" s="17" t="inlineStr">
        <is>
          <t>α3</t>
        </is>
      </c>
      <c r="U16" s="21">
        <f>61*$U$12^3/240-103*$U$12^4/140</f>
        <v/>
      </c>
    </row>
    <row r="17">
      <c r="A17" s="23" t="n">
        <v>3</v>
      </c>
      <c r="B17" s="13" t="inlineStr">
        <is>
          <t>Dammam</t>
        </is>
      </c>
      <c r="C17" s="24" t="n">
        <v>26.4207</v>
      </c>
      <c r="D17" s="24" t="n">
        <v>50.0888</v>
      </c>
      <c r="E17" s="25">
        <f>IF(AND(ISNUMBER(C17),ISNUMBER(D17)),INT((D17+180)/6)+1,"")</f>
        <v/>
      </c>
      <c r="F17" s="26">
        <f>IF(E17="","",IF(C17&gt;=0,"N","S"))</f>
        <v/>
      </c>
      <c r="G17" s="27">
        <f>IF(E17="","",$C$8+$C$7*$U$13*O17)</f>
        <v/>
      </c>
      <c r="H17" s="27">
        <f>IF(E17="","",IF(C17&gt;=0,0,$C$9)+$C$7*$U$13*N17)</f>
        <v/>
      </c>
      <c r="I17" s="22">
        <f>IF(E17="","",DEGREES(ATAN(TAN(RADIANS(D17-((E17-1)*6-180+3)))*SIN(RADIANS(C17)))))</f>
        <v/>
      </c>
      <c r="J17" s="5" t="n"/>
      <c r="K17" s="20">
        <f>IF(E17="","",SINH(ATANH(SIN(RADIANS(C17)))-(2*SQRT($U$12)/(1+$U$12))*ATANH((2*SQRT($U$12)/(1+$U$12))*SIN(RADIANS(C17)))))</f>
        <v/>
      </c>
      <c r="L17" s="20">
        <f>IF(E17="","",ATAN(K17/COS(RADIANS(D17-((E17-1)*6-180+3)))))</f>
        <v/>
      </c>
      <c r="M17" s="20">
        <f>IF(E17="","",ATANH(SIN(RADIANS(D17-((E17-1)*6-180+3)))/SQRT(1+K17^2)))</f>
        <v/>
      </c>
      <c r="N17" s="20">
        <f>IF(E17="","",L17+$U$14*SIN(2*L17)*COSH(2*M17)+$U$15*SIN(4*L17)*COSH(4*M17)+$U$16*SIN(6*L17)*COSH(6*M17)+$U$17*SIN(8*L17)*COSH(8*M17))</f>
        <v/>
      </c>
      <c r="O17" s="20">
        <f>IF(E17="","",M17+$U$14*COS(2*L17)*SINH(2*M17)+$U$15*COS(4*L17)*SINH(4*M17)+$U$16*COS(6*L17)*SINH(6*M17)+$U$17*COS(8*L17)*SINH(8*M17))</f>
        <v/>
      </c>
      <c r="P17" s="5" t="n"/>
      <c r="Q17" s="5" t="n"/>
      <c r="R17" s="5" t="n"/>
      <c r="T17" s="17" t="inlineStr">
        <is>
          <t>α4</t>
        </is>
      </c>
      <c r="U17" s="21">
        <f>49561*$U$12^4/161280</f>
        <v/>
      </c>
    </row>
    <row r="18">
      <c r="A18" s="23" t="n">
        <v>4</v>
      </c>
      <c r="B18" s="13" t="inlineStr">
        <is>
          <t>Makkah</t>
        </is>
      </c>
      <c r="C18" s="24" t="n">
        <v>21.3891</v>
      </c>
      <c r="D18" s="24" t="n">
        <v>39.8579</v>
      </c>
      <c r="E18" s="25">
        <f>IF(AND(ISNUMBER(C18),ISNUMBER(D18)),INT((D18+180)/6)+1,"")</f>
        <v/>
      </c>
      <c r="F18" s="26">
        <f>IF(E18="","",IF(C18&gt;=0,"N","S"))</f>
        <v/>
      </c>
      <c r="G18" s="27">
        <f>IF(E18="","",$C$8+$C$7*$U$13*O18)</f>
        <v/>
      </c>
      <c r="H18" s="27">
        <f>IF(E18="","",IF(C18&gt;=0,0,$C$9)+$C$7*$U$13*N18)</f>
        <v/>
      </c>
      <c r="I18" s="22">
        <f>IF(E18="","",DEGREES(ATAN(TAN(RADIANS(D18-((E18-1)*6-180+3)))*SIN(RADIANS(C18)))))</f>
        <v/>
      </c>
      <c r="J18" s="5" t="n"/>
      <c r="K18" s="20">
        <f>IF(E18="","",SINH(ATANH(SIN(RADIANS(C18)))-(2*SQRT($U$12)/(1+$U$12))*ATANH((2*SQRT($U$12)/(1+$U$12))*SIN(RADIANS(C18)))))</f>
        <v/>
      </c>
      <c r="L18" s="20">
        <f>IF(E18="","",ATAN(K18/COS(RADIANS(D18-((E18-1)*6-180+3)))))</f>
        <v/>
      </c>
      <c r="M18" s="20">
        <f>IF(E18="","",ATANH(SIN(RADIANS(D18-((E18-1)*6-180+3)))/SQRT(1+K18^2)))</f>
        <v/>
      </c>
      <c r="N18" s="20">
        <f>IF(E18="","",L18+$U$14*SIN(2*L18)*COSH(2*M18)+$U$15*SIN(4*L18)*COSH(4*M18)+$U$16*SIN(6*L18)*COSH(6*M18)+$U$17*SIN(8*L18)*COSH(8*M18))</f>
        <v/>
      </c>
      <c r="O18" s="20">
        <f>IF(E18="","",M18+$U$14*COS(2*L18)*SINH(2*M18)+$U$15*COS(4*L18)*SINH(4*M18)+$U$16*COS(6*L18)*SINH(6*M18)+$U$17*COS(8*L18)*SINH(8*M18))</f>
        <v/>
      </c>
      <c r="P18" s="5" t="n"/>
      <c r="Q18" s="5" t="n"/>
      <c r="R18" s="5" t="n"/>
      <c r="T18" s="17" t="inlineStr">
        <is>
          <t>β1</t>
        </is>
      </c>
      <c r="U18" s="21">
        <f>$U$12/2-2*$U$12^2/3+37*$U$12^3/96-$U$12^4/360</f>
        <v/>
      </c>
    </row>
    <row r="19">
      <c r="A19" s="23" t="n">
        <v>5</v>
      </c>
      <c r="B19" s="13" t="inlineStr">
        <is>
          <t>Madinah</t>
        </is>
      </c>
      <c r="C19" s="24" t="n">
        <v>24.5247</v>
      </c>
      <c r="D19" s="24" t="n">
        <v>39.5692</v>
      </c>
      <c r="E19" s="25">
        <f>IF(AND(ISNUMBER(C19),ISNUMBER(D19)),INT((D19+180)/6)+1,"")</f>
        <v/>
      </c>
      <c r="F19" s="26">
        <f>IF(E19="","",IF(C19&gt;=0,"N","S"))</f>
        <v/>
      </c>
      <c r="G19" s="27">
        <f>IF(E19="","",$C$8+$C$7*$U$13*O19)</f>
        <v/>
      </c>
      <c r="H19" s="27">
        <f>IF(E19="","",IF(C19&gt;=0,0,$C$9)+$C$7*$U$13*N19)</f>
        <v/>
      </c>
      <c r="I19" s="22">
        <f>IF(E19="","",DEGREES(ATAN(TAN(RADIANS(D19-((E19-1)*6-180+3)))*SIN(RADIANS(C19)))))</f>
        <v/>
      </c>
      <c r="J19" s="5" t="n"/>
      <c r="K19" s="20">
        <f>IF(E19="","",SINH(ATANH(SIN(RADIANS(C19)))-(2*SQRT($U$12)/(1+$U$12))*ATANH((2*SQRT($U$12)/(1+$U$12))*SIN(RADIANS(C19)))))</f>
        <v/>
      </c>
      <c r="L19" s="20">
        <f>IF(E19="","",ATAN(K19/COS(RADIANS(D19-((E19-1)*6-180+3)))))</f>
        <v/>
      </c>
      <c r="M19" s="20">
        <f>IF(E19="","",ATANH(SIN(RADIANS(D19-((E19-1)*6-180+3)))/SQRT(1+K19^2)))</f>
        <v/>
      </c>
      <c r="N19" s="20">
        <f>IF(E19="","",L19+$U$14*SIN(2*L19)*COSH(2*M19)+$U$15*SIN(4*L19)*COSH(4*M19)+$U$16*SIN(6*L19)*COSH(6*M19)+$U$17*SIN(8*L19)*COSH(8*M19))</f>
        <v/>
      </c>
      <c r="O19" s="20">
        <f>IF(E19="","",M19+$U$14*COS(2*L19)*SINH(2*M19)+$U$15*COS(4*L19)*SINH(4*M19)+$U$16*COS(6*L19)*SINH(6*M19)+$U$17*COS(8*L19)*SINH(8*M19))</f>
        <v/>
      </c>
      <c r="P19" s="5" t="n"/>
      <c r="Q19" s="5" t="n"/>
      <c r="R19" s="5" t="n"/>
      <c r="T19" s="17" t="inlineStr">
        <is>
          <t>β2</t>
        </is>
      </c>
      <c r="U19" s="21">
        <f>$U$12^2/48+$U$12^3/15-437*$U$12^4/1440</f>
        <v/>
      </c>
    </row>
    <row r="20">
      <c r="A20" s="23" t="n">
        <v>6</v>
      </c>
      <c r="B20" s="13" t="inlineStr">
        <is>
          <t>Abha</t>
        </is>
      </c>
      <c r="C20" s="24" t="n">
        <v>18.2164</v>
      </c>
      <c r="D20" s="24" t="n">
        <v>42.5053</v>
      </c>
      <c r="E20" s="25">
        <f>IF(AND(ISNUMBER(C20),ISNUMBER(D20)),INT((D20+180)/6)+1,"")</f>
        <v/>
      </c>
      <c r="F20" s="26">
        <f>IF(E20="","",IF(C20&gt;=0,"N","S"))</f>
        <v/>
      </c>
      <c r="G20" s="27">
        <f>IF(E20="","",$C$8+$C$7*$U$13*O20)</f>
        <v/>
      </c>
      <c r="H20" s="27">
        <f>IF(E20="","",IF(C20&gt;=0,0,$C$9)+$C$7*$U$13*N20)</f>
        <v/>
      </c>
      <c r="I20" s="22">
        <f>IF(E20="","",DEGREES(ATAN(TAN(RADIANS(D20-((E20-1)*6-180+3)))*SIN(RADIANS(C20)))))</f>
        <v/>
      </c>
      <c r="J20" s="5" t="n"/>
      <c r="K20" s="20">
        <f>IF(E20="","",SINH(ATANH(SIN(RADIANS(C20)))-(2*SQRT($U$12)/(1+$U$12))*ATANH((2*SQRT($U$12)/(1+$U$12))*SIN(RADIANS(C20)))))</f>
        <v/>
      </c>
      <c r="L20" s="20">
        <f>IF(E20="","",ATAN(K20/COS(RADIANS(D20-((E20-1)*6-180+3)))))</f>
        <v/>
      </c>
      <c r="M20" s="20">
        <f>IF(E20="","",ATANH(SIN(RADIANS(D20-((E20-1)*6-180+3)))/SQRT(1+K20^2)))</f>
        <v/>
      </c>
      <c r="N20" s="20">
        <f>IF(E20="","",L20+$U$14*SIN(2*L20)*COSH(2*M20)+$U$15*SIN(4*L20)*COSH(4*M20)+$U$16*SIN(6*L20)*COSH(6*M20)+$U$17*SIN(8*L20)*COSH(8*M20))</f>
        <v/>
      </c>
      <c r="O20" s="20">
        <f>IF(E20="","",M20+$U$14*COS(2*L20)*SINH(2*M20)+$U$15*COS(4*L20)*SINH(4*M20)+$U$16*COS(6*L20)*SINH(6*M20)+$U$17*COS(8*L20)*SINH(8*M20))</f>
        <v/>
      </c>
      <c r="P20" s="5" t="n"/>
      <c r="Q20" s="5" t="n"/>
      <c r="R20" s="5" t="n"/>
      <c r="T20" s="17" t="inlineStr">
        <is>
          <t>β3</t>
        </is>
      </c>
      <c r="U20" s="21">
        <f>17*$U$12^3/480-37*$U$12^4/840</f>
        <v/>
      </c>
    </row>
    <row r="21">
      <c r="A21" s="23" t="n">
        <v>7</v>
      </c>
      <c r="B21" s="13" t="inlineStr">
        <is>
          <t>Tabuk</t>
        </is>
      </c>
      <c r="C21" s="24" t="n">
        <v>28.3835</v>
      </c>
      <c r="D21" s="24" t="n">
        <v>36.5662</v>
      </c>
      <c r="E21" s="25">
        <f>IF(AND(ISNUMBER(C21),ISNUMBER(D21)),INT((D21+180)/6)+1,"")</f>
        <v/>
      </c>
      <c r="F21" s="26">
        <f>IF(E21="","",IF(C21&gt;=0,"N","S"))</f>
        <v/>
      </c>
      <c r="G21" s="27">
        <f>IF(E21="","",$C$8+$C$7*$U$13*O21)</f>
        <v/>
      </c>
      <c r="H21" s="27">
        <f>IF(E21="","",IF(C21&gt;=0,0,$C$9)+$C$7*$U$13*N21)</f>
        <v/>
      </c>
      <c r="I21" s="22">
        <f>IF(E21="","",DEGREES(ATAN(TAN(RADIANS(D21-((E21-1)*6-180+3)))*SIN(RADIANS(C21)))))</f>
        <v/>
      </c>
      <c r="J21" s="5" t="n"/>
      <c r="K21" s="20">
        <f>IF(E21="","",SINH(ATANH(SIN(RADIANS(C21)))-(2*SQRT($U$12)/(1+$U$12))*ATANH((2*SQRT($U$12)/(1+$U$12))*SIN(RADIANS(C21)))))</f>
        <v/>
      </c>
      <c r="L21" s="20">
        <f>IF(E21="","",ATAN(K21/COS(RADIANS(D21-((E21-1)*6-180+3)))))</f>
        <v/>
      </c>
      <c r="M21" s="20">
        <f>IF(E21="","",ATANH(SIN(RADIANS(D21-((E21-1)*6-180+3)))/SQRT(1+K21^2)))</f>
        <v/>
      </c>
      <c r="N21" s="20">
        <f>IF(E21="","",L21+$U$14*SIN(2*L21)*COSH(2*M21)+$U$15*SIN(4*L21)*COSH(4*M21)+$U$16*SIN(6*L21)*COSH(6*M21)+$U$17*SIN(8*L21)*COSH(8*M21))</f>
        <v/>
      </c>
      <c r="O21" s="20">
        <f>IF(E21="","",M21+$U$14*COS(2*L21)*SINH(2*M21)+$U$15*COS(4*L21)*SINH(4*M21)+$U$16*COS(6*L21)*SINH(6*M21)+$U$17*COS(8*L21)*SINH(8*M21))</f>
        <v/>
      </c>
      <c r="P21" s="5" t="n"/>
      <c r="Q21" s="5" t="n"/>
      <c r="R21" s="5" t="n"/>
      <c r="T21" s="17" t="inlineStr">
        <is>
          <t>β4</t>
        </is>
      </c>
      <c r="U21" s="21">
        <f>4397*$U$12^4/161280</f>
        <v/>
      </c>
    </row>
    <row r="22">
      <c r="A22" s="23" t="n">
        <v>8</v>
      </c>
      <c r="B22" s="13" t="inlineStr">
        <is>
          <t>Cairo</t>
        </is>
      </c>
      <c r="C22" s="24" t="n">
        <v>30.0444</v>
      </c>
      <c r="D22" s="24" t="n">
        <v>31.2357</v>
      </c>
      <c r="E22" s="25">
        <f>IF(AND(ISNUMBER(C22),ISNUMBER(D22)),INT((D22+180)/6)+1,"")</f>
        <v/>
      </c>
      <c r="F22" s="26">
        <f>IF(E22="","",IF(C22&gt;=0,"N","S"))</f>
        <v/>
      </c>
      <c r="G22" s="27">
        <f>IF(E22="","",$C$8+$C$7*$U$13*O22)</f>
        <v/>
      </c>
      <c r="H22" s="27">
        <f>IF(E22="","",IF(C22&gt;=0,0,$C$9)+$C$7*$U$13*N22)</f>
        <v/>
      </c>
      <c r="I22" s="22">
        <f>IF(E22="","",DEGREES(ATAN(TAN(RADIANS(D22-((E22-1)*6-180+3)))*SIN(RADIANS(C22)))))</f>
        <v/>
      </c>
      <c r="J22" s="5" t="n"/>
      <c r="K22" s="20">
        <f>IF(E22="","",SINH(ATANH(SIN(RADIANS(C22)))-(2*SQRT($U$12)/(1+$U$12))*ATANH((2*SQRT($U$12)/(1+$U$12))*SIN(RADIANS(C22)))))</f>
        <v/>
      </c>
      <c r="L22" s="20">
        <f>IF(E22="","",ATAN(K22/COS(RADIANS(D22-((E22-1)*6-180+3)))))</f>
        <v/>
      </c>
      <c r="M22" s="20">
        <f>IF(E22="","",ATANH(SIN(RADIANS(D22-((E22-1)*6-180+3)))/SQRT(1+K22^2)))</f>
        <v/>
      </c>
      <c r="N22" s="20">
        <f>IF(E22="","",L22+$U$14*SIN(2*L22)*COSH(2*M22)+$U$15*SIN(4*L22)*COSH(4*M22)+$U$16*SIN(6*L22)*COSH(6*M22)+$U$17*SIN(8*L22)*COSH(8*M22))</f>
        <v/>
      </c>
      <c r="O22" s="20">
        <f>IF(E22="","",M22+$U$14*COS(2*L22)*SINH(2*M22)+$U$15*COS(4*L22)*SINH(4*M22)+$U$16*COS(6*L22)*SINH(6*M22)+$U$17*COS(8*L22)*SINH(8*M22))</f>
        <v/>
      </c>
      <c r="P22" s="5" t="n"/>
      <c r="Q22" s="5" t="n"/>
      <c r="R22" s="5" t="n"/>
      <c r="T22" s="17" t="inlineStr">
        <is>
          <t>δ1</t>
        </is>
      </c>
      <c r="U22" s="21">
        <f>2*$U$12-2*$U$12^2/3-2*$U$12^3+116*$U$12^4/45</f>
        <v/>
      </c>
    </row>
    <row r="23">
      <c r="A23" s="23" t="n">
        <v>9</v>
      </c>
      <c r="B23" s="13" t="inlineStr">
        <is>
          <t>Dubai</t>
        </is>
      </c>
      <c r="C23" s="24" t="n">
        <v>25.2048</v>
      </c>
      <c r="D23" s="24" t="n">
        <v>55.2708</v>
      </c>
      <c r="E23" s="25">
        <f>IF(AND(ISNUMBER(C23),ISNUMBER(D23)),INT((D23+180)/6)+1,"")</f>
        <v/>
      </c>
      <c r="F23" s="26">
        <f>IF(E23="","",IF(C23&gt;=0,"N","S"))</f>
        <v/>
      </c>
      <c r="G23" s="27">
        <f>IF(E23="","",$C$8+$C$7*$U$13*O23)</f>
        <v/>
      </c>
      <c r="H23" s="27">
        <f>IF(E23="","",IF(C23&gt;=0,0,$C$9)+$C$7*$U$13*N23)</f>
        <v/>
      </c>
      <c r="I23" s="22">
        <f>IF(E23="","",DEGREES(ATAN(TAN(RADIANS(D23-((E23-1)*6-180+3)))*SIN(RADIANS(C23)))))</f>
        <v/>
      </c>
      <c r="J23" s="5" t="n"/>
      <c r="K23" s="20">
        <f>IF(E23="","",SINH(ATANH(SIN(RADIANS(C23)))-(2*SQRT($U$12)/(1+$U$12))*ATANH((2*SQRT($U$12)/(1+$U$12))*SIN(RADIANS(C23)))))</f>
        <v/>
      </c>
      <c r="L23" s="20">
        <f>IF(E23="","",ATAN(K23/COS(RADIANS(D23-((E23-1)*6-180+3)))))</f>
        <v/>
      </c>
      <c r="M23" s="20">
        <f>IF(E23="","",ATANH(SIN(RADIANS(D23-((E23-1)*6-180+3)))/SQRT(1+K23^2)))</f>
        <v/>
      </c>
      <c r="N23" s="20">
        <f>IF(E23="","",L23+$U$14*SIN(2*L23)*COSH(2*M23)+$U$15*SIN(4*L23)*COSH(4*M23)+$U$16*SIN(6*L23)*COSH(6*M23)+$U$17*SIN(8*L23)*COSH(8*M23))</f>
        <v/>
      </c>
      <c r="O23" s="20">
        <f>IF(E23="","",M23+$U$14*COS(2*L23)*SINH(2*M23)+$U$15*COS(4*L23)*SINH(4*M23)+$U$16*COS(6*L23)*SINH(6*M23)+$U$17*COS(8*L23)*SINH(8*M23))</f>
        <v/>
      </c>
      <c r="P23" s="5" t="n"/>
      <c r="Q23" s="5" t="n"/>
      <c r="R23" s="5" t="n"/>
      <c r="T23" s="17" t="inlineStr">
        <is>
          <t>δ2</t>
        </is>
      </c>
      <c r="U23" s="21">
        <f>7*$U$12^2/3-8*$U$12^3/5-227*$U$12^4/45</f>
        <v/>
      </c>
    </row>
    <row r="24">
      <c r="A24" s="23" t="n">
        <v>10</v>
      </c>
      <c r="B24" s="13" t="inlineStr">
        <is>
          <t>Amman</t>
        </is>
      </c>
      <c r="C24" s="24" t="n">
        <v>31.9539</v>
      </c>
      <c r="D24" s="24" t="n">
        <v>35.9106</v>
      </c>
      <c r="E24" s="25">
        <f>IF(AND(ISNUMBER(C24),ISNUMBER(D24)),INT((D24+180)/6)+1,"")</f>
        <v/>
      </c>
      <c r="F24" s="26">
        <f>IF(E24="","",IF(C24&gt;=0,"N","S"))</f>
        <v/>
      </c>
      <c r="G24" s="27">
        <f>IF(E24="","",$C$8+$C$7*$U$13*O24)</f>
        <v/>
      </c>
      <c r="H24" s="27">
        <f>IF(E24="","",IF(C24&gt;=0,0,$C$9)+$C$7*$U$13*N24)</f>
        <v/>
      </c>
      <c r="I24" s="22">
        <f>IF(E24="","",DEGREES(ATAN(TAN(RADIANS(D24-((E24-1)*6-180+3)))*SIN(RADIANS(C24)))))</f>
        <v/>
      </c>
      <c r="J24" s="5" t="n"/>
      <c r="K24" s="20">
        <f>IF(E24="","",SINH(ATANH(SIN(RADIANS(C24)))-(2*SQRT($U$12)/(1+$U$12))*ATANH((2*SQRT($U$12)/(1+$U$12))*SIN(RADIANS(C24)))))</f>
        <v/>
      </c>
      <c r="L24" s="20">
        <f>IF(E24="","",ATAN(K24/COS(RADIANS(D24-((E24-1)*6-180+3)))))</f>
        <v/>
      </c>
      <c r="M24" s="20">
        <f>IF(E24="","",ATANH(SIN(RADIANS(D24-((E24-1)*6-180+3)))/SQRT(1+K24^2)))</f>
        <v/>
      </c>
      <c r="N24" s="20">
        <f>IF(E24="","",L24+$U$14*SIN(2*L24)*COSH(2*M24)+$U$15*SIN(4*L24)*COSH(4*M24)+$U$16*SIN(6*L24)*COSH(6*M24)+$U$17*SIN(8*L24)*COSH(8*M24))</f>
        <v/>
      </c>
      <c r="O24" s="20">
        <f>IF(E24="","",M24+$U$14*COS(2*L24)*SINH(2*M24)+$U$15*COS(4*L24)*SINH(4*M24)+$U$16*COS(6*L24)*SINH(6*M24)+$U$17*COS(8*L24)*SINH(8*M24))</f>
        <v/>
      </c>
      <c r="P24" s="5" t="n"/>
      <c r="Q24" s="5" t="n"/>
      <c r="R24" s="5" t="n"/>
      <c r="T24" s="17" t="inlineStr">
        <is>
          <t>δ3</t>
        </is>
      </c>
      <c r="U24" s="21">
        <f>56*$U$12^3/15-136*$U$12^4/35</f>
        <v/>
      </c>
    </row>
    <row r="25">
      <c r="A25" s="23" t="n"/>
      <c r="B25" s="13" t="n"/>
      <c r="C25" s="24" t="n"/>
      <c r="D25" s="24" t="n"/>
      <c r="E25" s="25">
        <f>IF(AND(ISNUMBER(C25),ISNUMBER(D25)),INT((D25+180)/6)+1,"")</f>
        <v/>
      </c>
      <c r="F25" s="26">
        <f>IF(E25="","",IF(C25&gt;=0,"N","S"))</f>
        <v/>
      </c>
      <c r="G25" s="27">
        <f>IF(E25="","",$C$8+$C$7*$U$13*O25)</f>
        <v/>
      </c>
      <c r="H25" s="27">
        <f>IF(E25="","",IF(C25&gt;=0,0,$C$9)+$C$7*$U$13*N25)</f>
        <v/>
      </c>
      <c r="I25" s="22">
        <f>IF(E25="","",DEGREES(ATAN(TAN(RADIANS(D25-((E25-1)*6-180+3)))*SIN(RADIANS(C25)))))</f>
        <v/>
      </c>
      <c r="J25" s="5" t="n"/>
      <c r="K25" s="20">
        <f>IF(E25="","",SINH(ATANH(SIN(RADIANS(C25)))-(2*SQRT($U$12)/(1+$U$12))*ATANH((2*SQRT($U$12)/(1+$U$12))*SIN(RADIANS(C25)))))</f>
        <v/>
      </c>
      <c r="L25" s="20">
        <f>IF(E25="","",ATAN(K25/COS(RADIANS(D25-((E25-1)*6-180+3)))))</f>
        <v/>
      </c>
      <c r="M25" s="20">
        <f>IF(E25="","",ATANH(SIN(RADIANS(D25-((E25-1)*6-180+3)))/SQRT(1+K25^2)))</f>
        <v/>
      </c>
      <c r="N25" s="20">
        <f>IF(E25="","",L25+$U$14*SIN(2*L25)*COSH(2*M25)+$U$15*SIN(4*L25)*COSH(4*M25)+$U$16*SIN(6*L25)*COSH(6*M25)+$U$17*SIN(8*L25)*COSH(8*M25))</f>
        <v/>
      </c>
      <c r="O25" s="20">
        <f>IF(E25="","",M25+$U$14*COS(2*L25)*SINH(2*M25)+$U$15*COS(4*L25)*SINH(4*M25)+$U$16*COS(6*L25)*SINH(6*M25)+$U$17*COS(8*L25)*SINH(8*M25))</f>
        <v/>
      </c>
      <c r="P25" s="5" t="n"/>
      <c r="Q25" s="5" t="n"/>
      <c r="R25" s="5" t="n"/>
      <c r="T25" s="17" t="inlineStr">
        <is>
          <t>δ4</t>
        </is>
      </c>
      <c r="U25" s="21">
        <f>4279*$U$12^4/630</f>
        <v/>
      </c>
    </row>
    <row r="26">
      <c r="A26" s="23" t="n"/>
      <c r="B26" s="13" t="n"/>
      <c r="C26" s="24" t="n"/>
      <c r="D26" s="24" t="n"/>
      <c r="E26" s="25">
        <f>IF(AND(ISNUMBER(C26),ISNUMBER(D26)),INT((D26+180)/6)+1,"")</f>
        <v/>
      </c>
      <c r="F26" s="26">
        <f>IF(E26="","",IF(C26&gt;=0,"N","S"))</f>
        <v/>
      </c>
      <c r="G26" s="27">
        <f>IF(E26="","",$C$8+$C$7*$U$13*O26)</f>
        <v/>
      </c>
      <c r="H26" s="27">
        <f>IF(E26="","",IF(C26&gt;=0,0,$C$9)+$C$7*$U$13*N26)</f>
        <v/>
      </c>
      <c r="I26" s="22">
        <f>IF(E26="","",DEGREES(ATAN(TAN(RADIANS(D26-((E26-1)*6-180+3)))*SIN(RADIANS(C26)))))</f>
        <v/>
      </c>
      <c r="J26" s="5" t="n"/>
      <c r="K26" s="20">
        <f>IF(E26="","",SINH(ATANH(SIN(RADIANS(C26)))-(2*SQRT($U$12)/(1+$U$12))*ATANH((2*SQRT($U$12)/(1+$U$12))*SIN(RADIANS(C26)))))</f>
        <v/>
      </c>
      <c r="L26" s="20">
        <f>IF(E26="","",ATAN(K26/COS(RADIANS(D26-((E26-1)*6-180+3)))))</f>
        <v/>
      </c>
      <c r="M26" s="20">
        <f>IF(E26="","",ATANH(SIN(RADIANS(D26-((E26-1)*6-180+3)))/SQRT(1+K26^2)))</f>
        <v/>
      </c>
      <c r="N26" s="20">
        <f>IF(E26="","",L26+$U$14*SIN(2*L26)*COSH(2*M26)+$U$15*SIN(4*L26)*COSH(4*M26)+$U$16*SIN(6*L26)*COSH(6*M26)+$U$17*SIN(8*L26)*COSH(8*M26))</f>
        <v/>
      </c>
      <c r="O26" s="20">
        <f>IF(E26="","",M26+$U$14*COS(2*L26)*SINH(2*M26)+$U$15*COS(4*L26)*SINH(4*M26)+$U$16*COS(6*L26)*SINH(6*M26)+$U$17*COS(8*L26)*SINH(8*M26))</f>
        <v/>
      </c>
      <c r="P26" s="5" t="n"/>
      <c r="Q26" s="5" t="n"/>
      <c r="R26" s="5" t="n"/>
    </row>
    <row r="27">
      <c r="A27" s="23" t="n"/>
      <c r="B27" s="13" t="n"/>
      <c r="C27" s="24" t="n"/>
      <c r="D27" s="24" t="n"/>
      <c r="E27" s="25">
        <f>IF(AND(ISNUMBER(C27),ISNUMBER(D27)),INT((D27+180)/6)+1,"")</f>
        <v/>
      </c>
      <c r="F27" s="26">
        <f>IF(E27="","",IF(C27&gt;=0,"N","S"))</f>
        <v/>
      </c>
      <c r="G27" s="27">
        <f>IF(E27="","",$C$8+$C$7*$U$13*O27)</f>
        <v/>
      </c>
      <c r="H27" s="27">
        <f>IF(E27="","",IF(C27&gt;=0,0,$C$9)+$C$7*$U$13*N27)</f>
        <v/>
      </c>
      <c r="I27" s="22">
        <f>IF(E27="","",DEGREES(ATAN(TAN(RADIANS(D27-((E27-1)*6-180+3)))*SIN(RADIANS(C27)))))</f>
        <v/>
      </c>
      <c r="J27" s="5" t="n"/>
      <c r="K27" s="20">
        <f>IF(E27="","",SINH(ATANH(SIN(RADIANS(C27)))-(2*SQRT($U$12)/(1+$U$12))*ATANH((2*SQRT($U$12)/(1+$U$12))*SIN(RADIANS(C27)))))</f>
        <v/>
      </c>
      <c r="L27" s="20">
        <f>IF(E27="","",ATAN(K27/COS(RADIANS(D27-((E27-1)*6-180+3)))))</f>
        <v/>
      </c>
      <c r="M27" s="20">
        <f>IF(E27="","",ATANH(SIN(RADIANS(D27-((E27-1)*6-180+3)))/SQRT(1+K27^2)))</f>
        <v/>
      </c>
      <c r="N27" s="20">
        <f>IF(E27="","",L27+$U$14*SIN(2*L27)*COSH(2*M27)+$U$15*SIN(4*L27)*COSH(4*M27)+$U$16*SIN(6*L27)*COSH(6*M27)+$U$17*SIN(8*L27)*COSH(8*M27))</f>
        <v/>
      </c>
      <c r="O27" s="20">
        <f>IF(E27="","",M27+$U$14*COS(2*L27)*SINH(2*M27)+$U$15*COS(4*L27)*SINH(4*M27)+$U$16*COS(6*L27)*SINH(6*M27)+$U$17*COS(8*L27)*SINH(8*M27))</f>
        <v/>
      </c>
      <c r="P27" s="5" t="n"/>
      <c r="Q27" s="5" t="n"/>
      <c r="R27" s="5" t="n"/>
    </row>
    <row r="28">
      <c r="A28" s="23" t="n"/>
      <c r="B28" s="13" t="n"/>
      <c r="C28" s="24" t="n"/>
      <c r="D28" s="24" t="n"/>
      <c r="E28" s="25">
        <f>IF(AND(ISNUMBER(C28),ISNUMBER(D28)),INT((D28+180)/6)+1,"")</f>
        <v/>
      </c>
      <c r="F28" s="26">
        <f>IF(E28="","",IF(C28&gt;=0,"N","S"))</f>
        <v/>
      </c>
      <c r="G28" s="27">
        <f>IF(E28="","",$C$8+$C$7*$U$13*O28)</f>
        <v/>
      </c>
      <c r="H28" s="27">
        <f>IF(E28="","",IF(C28&gt;=0,0,$C$9)+$C$7*$U$13*N28)</f>
        <v/>
      </c>
      <c r="I28" s="22">
        <f>IF(E28="","",DEGREES(ATAN(TAN(RADIANS(D28-((E28-1)*6-180+3)))*SIN(RADIANS(C28)))))</f>
        <v/>
      </c>
      <c r="J28" s="5" t="n"/>
      <c r="K28" s="20">
        <f>IF(E28="","",SINH(ATANH(SIN(RADIANS(C28)))-(2*SQRT($U$12)/(1+$U$12))*ATANH((2*SQRT($U$12)/(1+$U$12))*SIN(RADIANS(C28)))))</f>
        <v/>
      </c>
      <c r="L28" s="20">
        <f>IF(E28="","",ATAN(K28/COS(RADIANS(D28-((E28-1)*6-180+3)))))</f>
        <v/>
      </c>
      <c r="M28" s="20">
        <f>IF(E28="","",ATANH(SIN(RADIANS(D28-((E28-1)*6-180+3)))/SQRT(1+K28^2)))</f>
        <v/>
      </c>
      <c r="N28" s="20">
        <f>IF(E28="","",L28+$U$14*SIN(2*L28)*COSH(2*M28)+$U$15*SIN(4*L28)*COSH(4*M28)+$U$16*SIN(6*L28)*COSH(6*M28)+$U$17*SIN(8*L28)*COSH(8*M28))</f>
        <v/>
      </c>
      <c r="O28" s="20">
        <f>IF(E28="","",M28+$U$14*COS(2*L28)*SINH(2*M28)+$U$15*COS(4*L28)*SINH(4*M28)+$U$16*COS(6*L28)*SINH(6*M28)+$U$17*COS(8*L28)*SINH(8*M28))</f>
        <v/>
      </c>
      <c r="P28" s="5" t="n"/>
      <c r="Q28" s="5" t="n"/>
      <c r="R28" s="5" t="n"/>
    </row>
    <row r="29">
      <c r="A29" s="23" t="n"/>
      <c r="B29" s="13" t="n"/>
      <c r="C29" s="24" t="n"/>
      <c r="D29" s="24" t="n"/>
      <c r="E29" s="25">
        <f>IF(AND(ISNUMBER(C29),ISNUMBER(D29)),INT((D29+180)/6)+1,"")</f>
        <v/>
      </c>
      <c r="F29" s="26">
        <f>IF(E29="","",IF(C29&gt;=0,"N","S"))</f>
        <v/>
      </c>
      <c r="G29" s="27">
        <f>IF(E29="","",$C$8+$C$7*$U$13*O29)</f>
        <v/>
      </c>
      <c r="H29" s="27">
        <f>IF(E29="","",IF(C29&gt;=0,0,$C$9)+$C$7*$U$13*N29)</f>
        <v/>
      </c>
      <c r="I29" s="22">
        <f>IF(E29="","",DEGREES(ATAN(TAN(RADIANS(D29-((E29-1)*6-180+3)))*SIN(RADIANS(C29)))))</f>
        <v/>
      </c>
      <c r="J29" s="5" t="n"/>
      <c r="K29" s="20">
        <f>IF(E29="","",SINH(ATANH(SIN(RADIANS(C29)))-(2*SQRT($U$12)/(1+$U$12))*ATANH((2*SQRT($U$12)/(1+$U$12))*SIN(RADIANS(C29)))))</f>
        <v/>
      </c>
      <c r="L29" s="20">
        <f>IF(E29="","",ATAN(K29/COS(RADIANS(D29-((E29-1)*6-180+3)))))</f>
        <v/>
      </c>
      <c r="M29" s="20">
        <f>IF(E29="","",ATANH(SIN(RADIANS(D29-((E29-1)*6-180+3)))/SQRT(1+K29^2)))</f>
        <v/>
      </c>
      <c r="N29" s="20">
        <f>IF(E29="","",L29+$U$14*SIN(2*L29)*COSH(2*M29)+$U$15*SIN(4*L29)*COSH(4*M29)+$U$16*SIN(6*L29)*COSH(6*M29)+$U$17*SIN(8*L29)*COSH(8*M29))</f>
        <v/>
      </c>
      <c r="O29" s="20">
        <f>IF(E29="","",M29+$U$14*COS(2*L29)*SINH(2*M29)+$U$15*COS(4*L29)*SINH(4*M29)+$U$16*COS(6*L29)*SINH(6*M29)+$U$17*COS(8*L29)*SINH(8*M29))</f>
        <v/>
      </c>
      <c r="P29" s="5" t="n"/>
      <c r="Q29" s="5" t="n"/>
      <c r="R29" s="5" t="n"/>
    </row>
    <row r="30">
      <c r="A30" s="23" t="n"/>
      <c r="B30" s="13" t="n"/>
      <c r="C30" s="24" t="n"/>
      <c r="D30" s="24" t="n"/>
      <c r="E30" s="25">
        <f>IF(AND(ISNUMBER(C30),ISNUMBER(D30)),INT((D30+180)/6)+1,"")</f>
        <v/>
      </c>
      <c r="F30" s="26">
        <f>IF(E30="","",IF(C30&gt;=0,"N","S"))</f>
        <v/>
      </c>
      <c r="G30" s="27">
        <f>IF(E30="","",$C$8+$C$7*$U$13*O30)</f>
        <v/>
      </c>
      <c r="H30" s="27">
        <f>IF(E30="","",IF(C30&gt;=0,0,$C$9)+$C$7*$U$13*N30)</f>
        <v/>
      </c>
      <c r="I30" s="22">
        <f>IF(E30="","",DEGREES(ATAN(TAN(RADIANS(D30-((E30-1)*6-180+3)))*SIN(RADIANS(C30)))))</f>
        <v/>
      </c>
      <c r="J30" s="5" t="n"/>
      <c r="K30" s="20">
        <f>IF(E30="","",SINH(ATANH(SIN(RADIANS(C30)))-(2*SQRT($U$12)/(1+$U$12))*ATANH((2*SQRT($U$12)/(1+$U$12))*SIN(RADIANS(C30)))))</f>
        <v/>
      </c>
      <c r="L30" s="20">
        <f>IF(E30="","",ATAN(K30/COS(RADIANS(D30-((E30-1)*6-180+3)))))</f>
        <v/>
      </c>
      <c r="M30" s="20">
        <f>IF(E30="","",ATANH(SIN(RADIANS(D30-((E30-1)*6-180+3)))/SQRT(1+K30^2)))</f>
        <v/>
      </c>
      <c r="N30" s="20">
        <f>IF(E30="","",L30+$U$14*SIN(2*L30)*COSH(2*M30)+$U$15*SIN(4*L30)*COSH(4*M30)+$U$16*SIN(6*L30)*COSH(6*M30)+$U$17*SIN(8*L30)*COSH(8*M30))</f>
        <v/>
      </c>
      <c r="O30" s="20">
        <f>IF(E30="","",M30+$U$14*COS(2*L30)*SINH(2*M30)+$U$15*COS(4*L30)*SINH(4*M30)+$U$16*COS(6*L30)*SINH(6*M30)+$U$17*COS(8*L30)*SINH(8*M30))</f>
        <v/>
      </c>
      <c r="P30" s="5" t="n"/>
      <c r="Q30" s="5" t="n"/>
      <c r="R30" s="5" t="n"/>
    </row>
    <row r="31">
      <c r="A31" s="23" t="n"/>
      <c r="B31" s="13" t="n"/>
      <c r="C31" s="24" t="n"/>
      <c r="D31" s="24" t="n"/>
      <c r="E31" s="25">
        <f>IF(AND(ISNUMBER(C31),ISNUMBER(D31)),INT((D31+180)/6)+1,"")</f>
        <v/>
      </c>
      <c r="F31" s="26">
        <f>IF(E31="","",IF(C31&gt;=0,"N","S"))</f>
        <v/>
      </c>
      <c r="G31" s="27">
        <f>IF(E31="","",$C$8+$C$7*$U$13*O31)</f>
        <v/>
      </c>
      <c r="H31" s="27">
        <f>IF(E31="","",IF(C31&gt;=0,0,$C$9)+$C$7*$U$13*N31)</f>
        <v/>
      </c>
      <c r="I31" s="22">
        <f>IF(E31="","",DEGREES(ATAN(TAN(RADIANS(D31-((E31-1)*6-180+3)))*SIN(RADIANS(C31)))))</f>
        <v/>
      </c>
      <c r="J31" s="5" t="n"/>
      <c r="K31" s="20">
        <f>IF(E31="","",SINH(ATANH(SIN(RADIANS(C31)))-(2*SQRT($U$12)/(1+$U$12))*ATANH((2*SQRT($U$12)/(1+$U$12))*SIN(RADIANS(C31)))))</f>
        <v/>
      </c>
      <c r="L31" s="20">
        <f>IF(E31="","",ATAN(K31/COS(RADIANS(D31-((E31-1)*6-180+3)))))</f>
        <v/>
      </c>
      <c r="M31" s="20">
        <f>IF(E31="","",ATANH(SIN(RADIANS(D31-((E31-1)*6-180+3)))/SQRT(1+K31^2)))</f>
        <v/>
      </c>
      <c r="N31" s="20">
        <f>IF(E31="","",L31+$U$14*SIN(2*L31)*COSH(2*M31)+$U$15*SIN(4*L31)*COSH(4*M31)+$U$16*SIN(6*L31)*COSH(6*M31)+$U$17*SIN(8*L31)*COSH(8*M31))</f>
        <v/>
      </c>
      <c r="O31" s="20">
        <f>IF(E31="","",M31+$U$14*COS(2*L31)*SINH(2*M31)+$U$15*COS(4*L31)*SINH(4*M31)+$U$16*COS(6*L31)*SINH(6*M31)+$U$17*COS(8*L31)*SINH(8*M31))</f>
        <v/>
      </c>
      <c r="P31" s="5" t="n"/>
      <c r="Q31" s="5" t="n"/>
      <c r="R31" s="5" t="n"/>
    </row>
    <row r="32">
      <c r="A32" s="23" t="n"/>
      <c r="B32" s="13" t="n"/>
      <c r="C32" s="24" t="n"/>
      <c r="D32" s="24" t="n"/>
      <c r="E32" s="25">
        <f>IF(AND(ISNUMBER(C32),ISNUMBER(D32)),INT((D32+180)/6)+1,"")</f>
        <v/>
      </c>
      <c r="F32" s="26">
        <f>IF(E32="","",IF(C32&gt;=0,"N","S"))</f>
        <v/>
      </c>
      <c r="G32" s="27">
        <f>IF(E32="","",$C$8+$C$7*$U$13*O32)</f>
        <v/>
      </c>
      <c r="H32" s="27">
        <f>IF(E32="","",IF(C32&gt;=0,0,$C$9)+$C$7*$U$13*N32)</f>
        <v/>
      </c>
      <c r="I32" s="22">
        <f>IF(E32="","",DEGREES(ATAN(TAN(RADIANS(D32-((E32-1)*6-180+3)))*SIN(RADIANS(C32)))))</f>
        <v/>
      </c>
      <c r="J32" s="5" t="n"/>
      <c r="K32" s="20">
        <f>IF(E32="","",SINH(ATANH(SIN(RADIANS(C32)))-(2*SQRT($U$12)/(1+$U$12))*ATANH((2*SQRT($U$12)/(1+$U$12))*SIN(RADIANS(C32)))))</f>
        <v/>
      </c>
      <c r="L32" s="20">
        <f>IF(E32="","",ATAN(K32/COS(RADIANS(D32-((E32-1)*6-180+3)))))</f>
        <v/>
      </c>
      <c r="M32" s="20">
        <f>IF(E32="","",ATANH(SIN(RADIANS(D32-((E32-1)*6-180+3)))/SQRT(1+K32^2)))</f>
        <v/>
      </c>
      <c r="N32" s="20">
        <f>IF(E32="","",L32+$U$14*SIN(2*L32)*COSH(2*M32)+$U$15*SIN(4*L32)*COSH(4*M32)+$U$16*SIN(6*L32)*COSH(6*M32)+$U$17*SIN(8*L32)*COSH(8*M32))</f>
        <v/>
      </c>
      <c r="O32" s="20">
        <f>IF(E32="","",M32+$U$14*COS(2*L32)*SINH(2*M32)+$U$15*COS(4*L32)*SINH(4*M32)+$U$16*COS(6*L32)*SINH(6*M32)+$U$17*COS(8*L32)*SINH(8*M32))</f>
        <v/>
      </c>
      <c r="P32" s="5" t="n"/>
      <c r="Q32" s="5" t="n"/>
      <c r="R32" s="5" t="n"/>
    </row>
    <row r="33">
      <c r="A33" s="23" t="n"/>
      <c r="B33" s="13" t="n"/>
      <c r="C33" s="24" t="n"/>
      <c r="D33" s="24" t="n"/>
      <c r="E33" s="25">
        <f>IF(AND(ISNUMBER(C33),ISNUMBER(D33)),INT((D33+180)/6)+1,"")</f>
        <v/>
      </c>
      <c r="F33" s="26">
        <f>IF(E33="","",IF(C33&gt;=0,"N","S"))</f>
        <v/>
      </c>
      <c r="G33" s="27">
        <f>IF(E33="","",$C$8+$C$7*$U$13*O33)</f>
        <v/>
      </c>
      <c r="H33" s="27">
        <f>IF(E33="","",IF(C33&gt;=0,0,$C$9)+$C$7*$U$13*N33)</f>
        <v/>
      </c>
      <c r="I33" s="22">
        <f>IF(E33="","",DEGREES(ATAN(TAN(RADIANS(D33-((E33-1)*6-180+3)))*SIN(RADIANS(C33)))))</f>
        <v/>
      </c>
      <c r="J33" s="5" t="n"/>
      <c r="K33" s="20">
        <f>IF(E33="","",SINH(ATANH(SIN(RADIANS(C33)))-(2*SQRT($U$12)/(1+$U$12))*ATANH((2*SQRT($U$12)/(1+$U$12))*SIN(RADIANS(C33)))))</f>
        <v/>
      </c>
      <c r="L33" s="20">
        <f>IF(E33="","",ATAN(K33/COS(RADIANS(D33-((E33-1)*6-180+3)))))</f>
        <v/>
      </c>
      <c r="M33" s="20">
        <f>IF(E33="","",ATANH(SIN(RADIANS(D33-((E33-1)*6-180+3)))/SQRT(1+K33^2)))</f>
        <v/>
      </c>
      <c r="N33" s="20">
        <f>IF(E33="","",L33+$U$14*SIN(2*L33)*COSH(2*M33)+$U$15*SIN(4*L33)*COSH(4*M33)+$U$16*SIN(6*L33)*COSH(6*M33)+$U$17*SIN(8*L33)*COSH(8*M33))</f>
        <v/>
      </c>
      <c r="O33" s="20">
        <f>IF(E33="","",M33+$U$14*COS(2*L33)*SINH(2*M33)+$U$15*COS(4*L33)*SINH(4*M33)+$U$16*COS(6*L33)*SINH(6*M33)+$U$17*COS(8*L33)*SINH(8*M33))</f>
        <v/>
      </c>
      <c r="P33" s="5" t="n"/>
      <c r="Q33" s="5" t="n"/>
      <c r="R33" s="5" t="n"/>
    </row>
    <row r="34">
      <c r="A34" s="23" t="n"/>
      <c r="B34" s="13" t="n"/>
      <c r="C34" s="24" t="n"/>
      <c r="D34" s="24" t="n"/>
      <c r="E34" s="25">
        <f>IF(AND(ISNUMBER(C34),ISNUMBER(D34)),INT((D34+180)/6)+1,"")</f>
        <v/>
      </c>
      <c r="F34" s="26">
        <f>IF(E34="","",IF(C34&gt;=0,"N","S"))</f>
        <v/>
      </c>
      <c r="G34" s="27">
        <f>IF(E34="","",$C$8+$C$7*$U$13*O34)</f>
        <v/>
      </c>
      <c r="H34" s="27">
        <f>IF(E34="","",IF(C34&gt;=0,0,$C$9)+$C$7*$U$13*N34)</f>
        <v/>
      </c>
      <c r="I34" s="22">
        <f>IF(E34="","",DEGREES(ATAN(TAN(RADIANS(D34-((E34-1)*6-180+3)))*SIN(RADIANS(C34)))))</f>
        <v/>
      </c>
      <c r="J34" s="5" t="n"/>
      <c r="K34" s="20">
        <f>IF(E34="","",SINH(ATANH(SIN(RADIANS(C34)))-(2*SQRT($U$12)/(1+$U$12))*ATANH((2*SQRT($U$12)/(1+$U$12))*SIN(RADIANS(C34)))))</f>
        <v/>
      </c>
      <c r="L34" s="20">
        <f>IF(E34="","",ATAN(K34/COS(RADIANS(D34-((E34-1)*6-180+3)))))</f>
        <v/>
      </c>
      <c r="M34" s="20">
        <f>IF(E34="","",ATANH(SIN(RADIANS(D34-((E34-1)*6-180+3)))/SQRT(1+K34^2)))</f>
        <v/>
      </c>
      <c r="N34" s="20">
        <f>IF(E34="","",L34+$U$14*SIN(2*L34)*COSH(2*M34)+$U$15*SIN(4*L34)*COSH(4*M34)+$U$16*SIN(6*L34)*COSH(6*M34)+$U$17*SIN(8*L34)*COSH(8*M34))</f>
        <v/>
      </c>
      <c r="O34" s="20">
        <f>IF(E34="","",M34+$U$14*COS(2*L34)*SINH(2*M34)+$U$15*COS(4*L34)*SINH(4*M34)+$U$16*COS(6*L34)*SINH(6*M34)+$U$17*COS(8*L34)*SINH(8*M34))</f>
        <v/>
      </c>
      <c r="P34" s="5" t="n"/>
      <c r="Q34" s="5" t="n"/>
      <c r="R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</row>
    <row r="37" ht="22" customHeight="1">
      <c r="A37" s="7" t="inlineStr">
        <is>
          <t>2) UTM → latitude / longitude</t>
        </is>
      </c>
      <c r="B37" s="8" t="n"/>
      <c r="C37" s="8" t="n"/>
      <c r="D37" s="8" t="n"/>
      <c r="E37" s="8" t="n"/>
      <c r="F37" s="8" t="n"/>
      <c r="G37" s="8" t="n"/>
      <c r="H37" s="8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</row>
    <row r="38" ht="34" customHeight="1">
      <c r="A38" s="6" t="inlineStr">
        <is>
          <t>#</t>
        </is>
      </c>
      <c r="B38" s="6" t="inlineStr">
        <is>
          <t>Name</t>
        </is>
      </c>
      <c r="C38" s="6" t="inlineStr">
        <is>
          <t>E (m)</t>
        </is>
      </c>
      <c r="D38" s="6" t="inlineStr">
        <is>
          <t>N (m)</t>
        </is>
      </c>
      <c r="E38" s="6" t="inlineStr">
        <is>
          <t>Zone</t>
        </is>
      </c>
      <c r="F38" s="6" t="inlineStr">
        <is>
          <t>Hem</t>
        </is>
      </c>
      <c r="G38" s="6" t="inlineStr">
        <is>
          <t>Lat °</t>
        </is>
      </c>
      <c r="H38" s="6" t="inlineStr">
        <is>
          <t>Lon °</t>
        </is>
      </c>
      <c r="I38" s="5" t="n"/>
      <c r="J38" s="5" t="n"/>
      <c r="K38" s="5" t="n"/>
      <c r="L38" s="6" t="inlineStr">
        <is>
          <t>ξ'</t>
        </is>
      </c>
      <c r="M38" s="6" t="inlineStr">
        <is>
          <t>η'</t>
        </is>
      </c>
      <c r="N38" s="6" t="inlineStr">
        <is>
          <t>χ</t>
        </is>
      </c>
      <c r="O38" s="5" t="n"/>
      <c r="P38" s="5" t="n"/>
      <c r="Q38" s="5" t="n"/>
      <c r="R38" s="5" t="n"/>
      <c r="T38" s="6" t="inlineStr">
        <is>
          <t>Latitude DMS</t>
        </is>
      </c>
      <c r="U38" s="6" t="inlineStr">
        <is>
          <t>Longitude DMS</t>
        </is>
      </c>
    </row>
    <row r="39">
      <c r="A39" s="23" t="n">
        <v>1</v>
      </c>
      <c r="B39" s="13" t="inlineStr">
        <is>
          <t>Site A</t>
        </is>
      </c>
      <c r="C39" s="28" t="n">
        <v>663000</v>
      </c>
      <c r="D39" s="28" t="n">
        <v>2734000</v>
      </c>
      <c r="E39" s="23" t="n">
        <v>38</v>
      </c>
      <c r="F39" s="13" t="inlineStr">
        <is>
          <t>N</t>
        </is>
      </c>
      <c r="G39" s="29">
        <f>IF(AND(ISNUMBER(E39),ISNUMBER(C39),ISNUMBER(D39)),DEGREES(M39+$U$22*SIN(2*M39)+$U$23*SIN(4*M39)+$U$24*SIN(6*M39)+$U$25*SIN(8*M39)),"")</f>
        <v/>
      </c>
      <c r="H39" s="29">
        <f>IF(AND(ISNUMBER(E39),ISNUMBER(C39),ISNUMBER(D39)),(E39-1)*6-180+3+DEGREES(ATAN(SINH(L39)/COS(K39))),"")</f>
        <v/>
      </c>
      <c r="I39" s="5" t="n"/>
      <c r="J39" s="5" t="n"/>
      <c r="K39" s="20">
        <f>IF(AND(ISNUMBER(E39),ISNUMBER(C39),ISNUMBER(D39)),((D39-IF(F39="S",$C$9,0))/($C$7*$U$13))-($U$18*SIN(2*((D39-IF(F39="S",$C$9,0))/($C$7*$U$13)))*COSH(2*((C39-$C$8)/($C$7*$U$13)))+$U$19*SIN(4*((D39-IF(F39="S",$C$9,0))/($C$7*$U$13)))*COSH(4*((C39-$C$8)/($C$7*$U$13)))+$U$20*SIN(6*((D39-IF(F39="S",$C$9,0))/($C$7*$U$13)))*COSH(6*((C39-$C$8)/($C$7*$U$13)))+$U$21*SIN(8*((D39-IF(F39="S",$C$9,0))/($C$7*$U$13)))*COSH(8*((C39-$C$8)/($C$7*$U$13)))),"")</f>
        <v/>
      </c>
      <c r="L39" s="20">
        <f>IF(AND(ISNUMBER(E39),ISNUMBER(C39),ISNUMBER(D39)),((C39-$C$8)/($C$7*$U$13))-($U$18*COS(2*((D39-IF(F39="S",$C$9,0))/($C$7*$U$13)))*SINH(2*((C39-$C$8)/($C$7*$U$13)))+$U$19*COS(4*((D39-IF(F39="S",$C$9,0))/($C$7*$U$13)))*SINH(4*((C39-$C$8)/($C$7*$U$13)))+$U$20*COS(6*((D39-IF(F39="S",$C$9,0))/($C$7*$U$13)))*SINH(6*((C39-$C$8)/($C$7*$U$13)))+$U$21*COS(8*((D39-IF(F39="S",$C$9,0))/($C$7*$U$13)))*SINH(8*((C39-$C$8)/($C$7*$U$13)))),"")</f>
        <v/>
      </c>
      <c r="M39" s="20">
        <f>IF(AND(ISNUMBER(E39),ISNUMBER(C39),ISNUMBER(D39)),ASIN(SIN(K39)/COSH(L39)),"")</f>
        <v/>
      </c>
      <c r="N39" s="5" t="n"/>
      <c r="O39" s="5" t="n"/>
      <c r="P39" s="5" t="n"/>
      <c r="Q39" s="5" t="n"/>
      <c r="R39" s="5" t="n"/>
      <c r="T39" s="26">
        <f>IF(G39="","",INT(ABS(G39))&amp;"° "&amp;INT(MOD(ABS(G39),1)*60)&amp;"' "&amp;TEXT(MOD(MOD(ABS(G39),1)*60,1)*60,"00.000")&amp;""" "&amp;IF(G39&gt;=0,"N","S"))</f>
        <v/>
      </c>
      <c r="U39" s="26">
        <f>IF(H39="","",INT(ABS(H39))&amp;"° "&amp;INT(MOD(ABS(H39),1)*60)&amp;"' "&amp;TEXT(MOD(MOD(ABS(H39),1)*60,1)*60,"00.000")&amp;""" "&amp;IF(H39&gt;=0,"E","W"))</f>
        <v/>
      </c>
    </row>
    <row r="40">
      <c r="A40" s="23" t="n">
        <v>2</v>
      </c>
      <c r="B40" s="13" t="inlineStr">
        <is>
          <t>Site B</t>
        </is>
      </c>
      <c r="C40" s="28" t="n">
        <v>580000</v>
      </c>
      <c r="D40" s="28" t="n">
        <v>2375000</v>
      </c>
      <c r="E40" s="23" t="n">
        <v>37</v>
      </c>
      <c r="F40" s="13" t="inlineStr">
        <is>
          <t>N</t>
        </is>
      </c>
      <c r="G40" s="29">
        <f>IF(AND(ISNUMBER(E40),ISNUMBER(C40),ISNUMBER(D40)),DEGREES(M40+$U$22*SIN(2*M40)+$U$23*SIN(4*M40)+$U$24*SIN(6*M40)+$U$25*SIN(8*M40)),"")</f>
        <v/>
      </c>
      <c r="H40" s="29">
        <f>IF(AND(ISNUMBER(E40),ISNUMBER(C40),ISNUMBER(D40)),(E40-1)*6-180+3+DEGREES(ATAN(SINH(L40)/COS(K40))),"")</f>
        <v/>
      </c>
      <c r="I40" s="5" t="n"/>
      <c r="J40" s="5" t="n"/>
      <c r="K40" s="20">
        <f>IF(AND(ISNUMBER(E40),ISNUMBER(C40),ISNUMBER(D40)),((D40-IF(F40="S",$C$9,0))/($C$7*$U$13))-($U$18*SIN(2*((D40-IF(F40="S",$C$9,0))/($C$7*$U$13)))*COSH(2*((C40-$C$8)/($C$7*$U$13)))+$U$19*SIN(4*((D40-IF(F40="S",$C$9,0))/($C$7*$U$13)))*COSH(4*((C40-$C$8)/($C$7*$U$13)))+$U$20*SIN(6*((D40-IF(F40="S",$C$9,0))/($C$7*$U$13)))*COSH(6*((C40-$C$8)/($C$7*$U$13)))+$U$21*SIN(8*((D40-IF(F40="S",$C$9,0))/($C$7*$U$13)))*COSH(8*((C40-$C$8)/($C$7*$U$13)))),"")</f>
        <v/>
      </c>
      <c r="L40" s="20">
        <f>IF(AND(ISNUMBER(E40),ISNUMBER(C40),ISNUMBER(D40)),((C40-$C$8)/($C$7*$U$13))-($U$18*COS(2*((D40-IF(F40="S",$C$9,0))/($C$7*$U$13)))*SINH(2*((C40-$C$8)/($C$7*$U$13)))+$U$19*COS(4*((D40-IF(F40="S",$C$9,0))/($C$7*$U$13)))*SINH(4*((C40-$C$8)/($C$7*$U$13)))+$U$20*COS(6*((D40-IF(F40="S",$C$9,0))/($C$7*$U$13)))*SINH(6*((C40-$C$8)/($C$7*$U$13)))+$U$21*COS(8*((D40-IF(F40="S",$C$9,0))/($C$7*$U$13)))*SINH(8*((C40-$C$8)/($C$7*$U$13)))),"")</f>
        <v/>
      </c>
      <c r="M40" s="20">
        <f>IF(AND(ISNUMBER(E40),ISNUMBER(C40),ISNUMBER(D40)),ASIN(SIN(K40)/COSH(L40)),"")</f>
        <v/>
      </c>
      <c r="N40" s="5" t="n"/>
      <c r="O40" s="5" t="n"/>
      <c r="P40" s="5" t="n"/>
      <c r="Q40" s="5" t="n"/>
      <c r="R40" s="5" t="n"/>
      <c r="T40" s="26">
        <f>IF(G40="","",INT(ABS(G40))&amp;"° "&amp;INT(MOD(ABS(G40),1)*60)&amp;"' "&amp;TEXT(MOD(MOD(ABS(G40),1)*60,1)*60,"00.000")&amp;""" "&amp;IF(G40&gt;=0,"N","S"))</f>
        <v/>
      </c>
      <c r="U40" s="26">
        <f>IF(H40="","",INT(ABS(H40))&amp;"° "&amp;INT(MOD(ABS(H40),1)*60)&amp;"' "&amp;TEXT(MOD(MOD(ABS(H40),1)*60,1)*60,"00.000")&amp;""" "&amp;IF(H40&gt;=0,"E","W"))</f>
        <v/>
      </c>
    </row>
    <row r="41">
      <c r="A41" s="23" t="n">
        <v>3</v>
      </c>
      <c r="B41" s="13" t="inlineStr">
        <is>
          <t>Site C</t>
        </is>
      </c>
      <c r="C41" s="28" t="n">
        <v>500000</v>
      </c>
      <c r="D41" s="28" t="n">
        <v>2920000</v>
      </c>
      <c r="E41" s="23" t="n">
        <v>39</v>
      </c>
      <c r="F41" s="13" t="inlineStr">
        <is>
          <t>N</t>
        </is>
      </c>
      <c r="G41" s="29">
        <f>IF(AND(ISNUMBER(E41),ISNUMBER(C41),ISNUMBER(D41)),DEGREES(M41+$U$22*SIN(2*M41)+$U$23*SIN(4*M41)+$U$24*SIN(6*M41)+$U$25*SIN(8*M41)),"")</f>
        <v/>
      </c>
      <c r="H41" s="29">
        <f>IF(AND(ISNUMBER(E41),ISNUMBER(C41),ISNUMBER(D41)),(E41-1)*6-180+3+DEGREES(ATAN(SINH(L41)/COS(K41))),"")</f>
        <v/>
      </c>
      <c r="I41" s="5" t="n"/>
      <c r="J41" s="5" t="n"/>
      <c r="K41" s="20">
        <f>IF(AND(ISNUMBER(E41),ISNUMBER(C41),ISNUMBER(D41)),((D41-IF(F41="S",$C$9,0))/($C$7*$U$13))-($U$18*SIN(2*((D41-IF(F41="S",$C$9,0))/($C$7*$U$13)))*COSH(2*((C41-$C$8)/($C$7*$U$13)))+$U$19*SIN(4*((D41-IF(F41="S",$C$9,0))/($C$7*$U$13)))*COSH(4*((C41-$C$8)/($C$7*$U$13)))+$U$20*SIN(6*((D41-IF(F41="S",$C$9,0))/($C$7*$U$13)))*COSH(6*((C41-$C$8)/($C$7*$U$13)))+$U$21*SIN(8*((D41-IF(F41="S",$C$9,0))/($C$7*$U$13)))*COSH(8*((C41-$C$8)/($C$7*$U$13)))),"")</f>
        <v/>
      </c>
      <c r="L41" s="20">
        <f>IF(AND(ISNUMBER(E41),ISNUMBER(C41),ISNUMBER(D41)),((C41-$C$8)/($C$7*$U$13))-($U$18*COS(2*((D41-IF(F41="S",$C$9,0))/($C$7*$U$13)))*SINH(2*((C41-$C$8)/($C$7*$U$13)))+$U$19*COS(4*((D41-IF(F41="S",$C$9,0))/($C$7*$U$13)))*SINH(4*((C41-$C$8)/($C$7*$U$13)))+$U$20*COS(6*((D41-IF(F41="S",$C$9,0))/($C$7*$U$13)))*SINH(6*((C41-$C$8)/($C$7*$U$13)))+$U$21*COS(8*((D41-IF(F41="S",$C$9,0))/($C$7*$U$13)))*SINH(8*((C41-$C$8)/($C$7*$U$13)))),"")</f>
        <v/>
      </c>
      <c r="M41" s="20">
        <f>IF(AND(ISNUMBER(E41),ISNUMBER(C41),ISNUMBER(D41)),ASIN(SIN(K41)/COSH(L41)),"")</f>
        <v/>
      </c>
      <c r="N41" s="5" t="n"/>
      <c r="O41" s="5" t="n"/>
      <c r="P41" s="5" t="n"/>
      <c r="Q41" s="5" t="n"/>
      <c r="R41" s="5" t="n"/>
      <c r="T41" s="26">
        <f>IF(G41="","",INT(ABS(G41))&amp;"° "&amp;INT(MOD(ABS(G41),1)*60)&amp;"' "&amp;TEXT(MOD(MOD(ABS(G41),1)*60,1)*60,"00.000")&amp;""" "&amp;IF(G41&gt;=0,"N","S"))</f>
        <v/>
      </c>
      <c r="U41" s="26">
        <f>IF(H41="","",INT(ABS(H41))&amp;"° "&amp;INT(MOD(ABS(H41),1)*60)&amp;"' "&amp;TEXT(MOD(MOD(ABS(H41),1)*60,1)*60,"00.000")&amp;""" "&amp;IF(H41&gt;=0,"E","W"))</f>
        <v/>
      </c>
    </row>
    <row r="42">
      <c r="A42" s="23" t="n">
        <v>4</v>
      </c>
      <c r="B42" s="13" t="inlineStr">
        <is>
          <t>Site D</t>
        </is>
      </c>
      <c r="C42" s="28" t="n">
        <v>311500</v>
      </c>
      <c r="D42" s="28" t="n">
        <v>3322000</v>
      </c>
      <c r="E42" s="23" t="n">
        <v>36</v>
      </c>
      <c r="F42" s="13" t="inlineStr">
        <is>
          <t>N</t>
        </is>
      </c>
      <c r="G42" s="29">
        <f>IF(AND(ISNUMBER(E42),ISNUMBER(C42),ISNUMBER(D42)),DEGREES(M42+$U$22*SIN(2*M42)+$U$23*SIN(4*M42)+$U$24*SIN(6*M42)+$U$25*SIN(8*M42)),"")</f>
        <v/>
      </c>
      <c r="H42" s="29">
        <f>IF(AND(ISNUMBER(E42),ISNUMBER(C42),ISNUMBER(D42)),(E42-1)*6-180+3+DEGREES(ATAN(SINH(L42)/COS(K42))),"")</f>
        <v/>
      </c>
      <c r="I42" s="5" t="n"/>
      <c r="J42" s="5" t="n"/>
      <c r="K42" s="20">
        <f>IF(AND(ISNUMBER(E42),ISNUMBER(C42),ISNUMBER(D42)),((D42-IF(F42="S",$C$9,0))/($C$7*$U$13))-($U$18*SIN(2*((D42-IF(F42="S",$C$9,0))/($C$7*$U$13)))*COSH(2*((C42-$C$8)/($C$7*$U$13)))+$U$19*SIN(4*((D42-IF(F42="S",$C$9,0))/($C$7*$U$13)))*COSH(4*((C42-$C$8)/($C$7*$U$13)))+$U$20*SIN(6*((D42-IF(F42="S",$C$9,0))/($C$7*$U$13)))*COSH(6*((C42-$C$8)/($C$7*$U$13)))+$U$21*SIN(8*((D42-IF(F42="S",$C$9,0))/($C$7*$U$13)))*COSH(8*((C42-$C$8)/($C$7*$U$13)))),"")</f>
        <v/>
      </c>
      <c r="L42" s="20">
        <f>IF(AND(ISNUMBER(E42),ISNUMBER(C42),ISNUMBER(D42)),((C42-$C$8)/($C$7*$U$13))-($U$18*COS(2*((D42-IF(F42="S",$C$9,0))/($C$7*$U$13)))*SINH(2*((C42-$C$8)/($C$7*$U$13)))+$U$19*COS(4*((D42-IF(F42="S",$C$9,0))/($C$7*$U$13)))*SINH(4*((C42-$C$8)/($C$7*$U$13)))+$U$20*COS(6*((D42-IF(F42="S",$C$9,0))/($C$7*$U$13)))*SINH(6*((C42-$C$8)/($C$7*$U$13)))+$U$21*COS(8*((D42-IF(F42="S",$C$9,0))/($C$7*$U$13)))*SINH(8*((C42-$C$8)/($C$7*$U$13)))),"")</f>
        <v/>
      </c>
      <c r="M42" s="20">
        <f>IF(AND(ISNUMBER(E42),ISNUMBER(C42),ISNUMBER(D42)),ASIN(SIN(K42)/COSH(L42)),"")</f>
        <v/>
      </c>
      <c r="N42" s="5" t="n"/>
      <c r="O42" s="5" t="n"/>
      <c r="P42" s="5" t="n"/>
      <c r="Q42" s="5" t="n"/>
      <c r="R42" s="5" t="n"/>
      <c r="T42" s="26">
        <f>IF(G42="","",INT(ABS(G42))&amp;"° "&amp;INT(MOD(ABS(G42),1)*60)&amp;"' "&amp;TEXT(MOD(MOD(ABS(G42),1)*60,1)*60,"00.000")&amp;""" "&amp;IF(G42&gt;=0,"N","S"))</f>
        <v/>
      </c>
      <c r="U42" s="26">
        <f>IF(H42="","",INT(ABS(H42))&amp;"° "&amp;INT(MOD(ABS(H42),1)*60)&amp;"' "&amp;TEXT(MOD(MOD(ABS(H42),1)*60,1)*60,"00.000")&amp;""" "&amp;IF(H42&gt;=0,"E","W"))</f>
        <v/>
      </c>
    </row>
    <row r="43">
      <c r="A43" s="23" t="n"/>
      <c r="B43" s="13" t="n"/>
      <c r="C43" s="28" t="n"/>
      <c r="D43" s="28" t="n"/>
      <c r="E43" s="23" t="n"/>
      <c r="F43" s="13" t="n"/>
      <c r="G43" s="29">
        <f>IF(AND(ISNUMBER(E43),ISNUMBER(C43),ISNUMBER(D43)),DEGREES(M43+$U$22*SIN(2*M43)+$U$23*SIN(4*M43)+$U$24*SIN(6*M43)+$U$25*SIN(8*M43)),"")</f>
        <v/>
      </c>
      <c r="H43" s="29">
        <f>IF(AND(ISNUMBER(E43),ISNUMBER(C43),ISNUMBER(D43)),(E43-1)*6-180+3+DEGREES(ATAN(SINH(L43)/COS(K43))),"")</f>
        <v/>
      </c>
      <c r="I43" s="5" t="n"/>
      <c r="J43" s="5" t="n"/>
      <c r="K43" s="20">
        <f>IF(AND(ISNUMBER(E43),ISNUMBER(C43),ISNUMBER(D43)),((D43-IF(F43="S",$C$9,0))/($C$7*$U$13))-($U$18*SIN(2*((D43-IF(F43="S",$C$9,0))/($C$7*$U$13)))*COSH(2*((C43-$C$8)/($C$7*$U$13)))+$U$19*SIN(4*((D43-IF(F43="S",$C$9,0))/($C$7*$U$13)))*COSH(4*((C43-$C$8)/($C$7*$U$13)))+$U$20*SIN(6*((D43-IF(F43="S",$C$9,0))/($C$7*$U$13)))*COSH(6*((C43-$C$8)/($C$7*$U$13)))+$U$21*SIN(8*((D43-IF(F43="S",$C$9,0))/($C$7*$U$13)))*COSH(8*((C43-$C$8)/($C$7*$U$13)))),"")</f>
        <v/>
      </c>
      <c r="L43" s="20">
        <f>IF(AND(ISNUMBER(E43),ISNUMBER(C43),ISNUMBER(D43)),((C43-$C$8)/($C$7*$U$13))-($U$18*COS(2*((D43-IF(F43="S",$C$9,0))/($C$7*$U$13)))*SINH(2*((C43-$C$8)/($C$7*$U$13)))+$U$19*COS(4*((D43-IF(F43="S",$C$9,0))/($C$7*$U$13)))*SINH(4*((C43-$C$8)/($C$7*$U$13)))+$U$20*COS(6*((D43-IF(F43="S",$C$9,0))/($C$7*$U$13)))*SINH(6*((C43-$C$8)/($C$7*$U$13)))+$U$21*COS(8*((D43-IF(F43="S",$C$9,0))/($C$7*$U$13)))*SINH(8*((C43-$C$8)/($C$7*$U$13)))),"")</f>
        <v/>
      </c>
      <c r="M43" s="20">
        <f>IF(AND(ISNUMBER(E43),ISNUMBER(C43),ISNUMBER(D43)),ASIN(SIN(K43)/COSH(L43)),"")</f>
        <v/>
      </c>
      <c r="N43" s="5" t="n"/>
      <c r="O43" s="5" t="n"/>
      <c r="P43" s="5" t="n"/>
      <c r="Q43" s="5" t="n"/>
      <c r="R43" s="5" t="n"/>
      <c r="T43" s="26">
        <f>IF(G43="","",INT(ABS(G43))&amp;"° "&amp;INT(MOD(ABS(G43),1)*60)&amp;"' "&amp;TEXT(MOD(MOD(ABS(G43),1)*60,1)*60,"00.000")&amp;""" "&amp;IF(G43&gt;=0,"N","S"))</f>
        <v/>
      </c>
      <c r="U43" s="26">
        <f>IF(H43="","",INT(ABS(H43))&amp;"° "&amp;INT(MOD(ABS(H43),1)*60)&amp;"' "&amp;TEXT(MOD(MOD(ABS(H43),1)*60,1)*60,"00.000")&amp;""" "&amp;IF(H43&gt;=0,"E","W"))</f>
        <v/>
      </c>
    </row>
    <row r="44">
      <c r="A44" s="23" t="n"/>
      <c r="B44" s="13" t="n"/>
      <c r="C44" s="28" t="n"/>
      <c r="D44" s="28" t="n"/>
      <c r="E44" s="23" t="n"/>
      <c r="F44" s="13" t="n"/>
      <c r="G44" s="29">
        <f>IF(AND(ISNUMBER(E44),ISNUMBER(C44),ISNUMBER(D44)),DEGREES(M44+$U$22*SIN(2*M44)+$U$23*SIN(4*M44)+$U$24*SIN(6*M44)+$U$25*SIN(8*M44)),"")</f>
        <v/>
      </c>
      <c r="H44" s="29">
        <f>IF(AND(ISNUMBER(E44),ISNUMBER(C44),ISNUMBER(D44)),(E44-1)*6-180+3+DEGREES(ATAN(SINH(L44)/COS(K44))),"")</f>
        <v/>
      </c>
      <c r="I44" s="5" t="n"/>
      <c r="J44" s="5" t="n"/>
      <c r="K44" s="20">
        <f>IF(AND(ISNUMBER(E44),ISNUMBER(C44),ISNUMBER(D44)),((D44-IF(F44="S",$C$9,0))/($C$7*$U$13))-($U$18*SIN(2*((D44-IF(F44="S",$C$9,0))/($C$7*$U$13)))*COSH(2*((C44-$C$8)/($C$7*$U$13)))+$U$19*SIN(4*((D44-IF(F44="S",$C$9,0))/($C$7*$U$13)))*COSH(4*((C44-$C$8)/($C$7*$U$13)))+$U$20*SIN(6*((D44-IF(F44="S",$C$9,0))/($C$7*$U$13)))*COSH(6*((C44-$C$8)/($C$7*$U$13)))+$U$21*SIN(8*((D44-IF(F44="S",$C$9,0))/($C$7*$U$13)))*COSH(8*((C44-$C$8)/($C$7*$U$13)))),"")</f>
        <v/>
      </c>
      <c r="L44" s="20">
        <f>IF(AND(ISNUMBER(E44),ISNUMBER(C44),ISNUMBER(D44)),((C44-$C$8)/($C$7*$U$13))-($U$18*COS(2*((D44-IF(F44="S",$C$9,0))/($C$7*$U$13)))*SINH(2*((C44-$C$8)/($C$7*$U$13)))+$U$19*COS(4*((D44-IF(F44="S",$C$9,0))/($C$7*$U$13)))*SINH(4*((C44-$C$8)/($C$7*$U$13)))+$U$20*COS(6*((D44-IF(F44="S",$C$9,0))/($C$7*$U$13)))*SINH(6*((C44-$C$8)/($C$7*$U$13)))+$U$21*COS(8*((D44-IF(F44="S",$C$9,0))/($C$7*$U$13)))*SINH(8*((C44-$C$8)/($C$7*$U$13)))),"")</f>
        <v/>
      </c>
      <c r="M44" s="20">
        <f>IF(AND(ISNUMBER(E44),ISNUMBER(C44),ISNUMBER(D44)),ASIN(SIN(K44)/COSH(L44)),"")</f>
        <v/>
      </c>
      <c r="N44" s="5" t="n"/>
      <c r="O44" s="5" t="n"/>
      <c r="P44" s="5" t="n"/>
      <c r="Q44" s="5" t="n"/>
      <c r="R44" s="5" t="n"/>
      <c r="T44" s="26">
        <f>IF(G44="","",INT(ABS(G44))&amp;"° "&amp;INT(MOD(ABS(G44),1)*60)&amp;"' "&amp;TEXT(MOD(MOD(ABS(G44),1)*60,1)*60,"00.000")&amp;""" "&amp;IF(G44&gt;=0,"N","S"))</f>
        <v/>
      </c>
      <c r="U44" s="26">
        <f>IF(H44="","",INT(ABS(H44))&amp;"° "&amp;INT(MOD(ABS(H44),1)*60)&amp;"' "&amp;TEXT(MOD(MOD(ABS(H44),1)*60,1)*60,"00.000")&amp;""" "&amp;IF(H44&gt;=0,"E","W"))</f>
        <v/>
      </c>
    </row>
    <row r="45">
      <c r="A45" s="23" t="n"/>
      <c r="B45" s="13" t="n"/>
      <c r="C45" s="28" t="n"/>
      <c r="D45" s="28" t="n"/>
      <c r="E45" s="23" t="n"/>
      <c r="F45" s="13" t="n"/>
      <c r="G45" s="29">
        <f>IF(AND(ISNUMBER(E45),ISNUMBER(C45),ISNUMBER(D45)),DEGREES(M45+$U$22*SIN(2*M45)+$U$23*SIN(4*M45)+$U$24*SIN(6*M45)+$U$25*SIN(8*M45)),"")</f>
        <v/>
      </c>
      <c r="H45" s="29">
        <f>IF(AND(ISNUMBER(E45),ISNUMBER(C45),ISNUMBER(D45)),(E45-1)*6-180+3+DEGREES(ATAN(SINH(L45)/COS(K45))),"")</f>
        <v/>
      </c>
      <c r="I45" s="5" t="n"/>
      <c r="J45" s="5" t="n"/>
      <c r="K45" s="20">
        <f>IF(AND(ISNUMBER(E45),ISNUMBER(C45),ISNUMBER(D45)),((D45-IF(F45="S",$C$9,0))/($C$7*$U$13))-($U$18*SIN(2*((D45-IF(F45="S",$C$9,0))/($C$7*$U$13)))*COSH(2*((C45-$C$8)/($C$7*$U$13)))+$U$19*SIN(4*((D45-IF(F45="S",$C$9,0))/($C$7*$U$13)))*COSH(4*((C45-$C$8)/($C$7*$U$13)))+$U$20*SIN(6*((D45-IF(F45="S",$C$9,0))/($C$7*$U$13)))*COSH(6*((C45-$C$8)/($C$7*$U$13)))+$U$21*SIN(8*((D45-IF(F45="S",$C$9,0))/($C$7*$U$13)))*COSH(8*((C45-$C$8)/($C$7*$U$13)))),"")</f>
        <v/>
      </c>
      <c r="L45" s="20">
        <f>IF(AND(ISNUMBER(E45),ISNUMBER(C45),ISNUMBER(D45)),((C45-$C$8)/($C$7*$U$13))-($U$18*COS(2*((D45-IF(F45="S",$C$9,0))/($C$7*$U$13)))*SINH(2*((C45-$C$8)/($C$7*$U$13)))+$U$19*COS(4*((D45-IF(F45="S",$C$9,0))/($C$7*$U$13)))*SINH(4*((C45-$C$8)/($C$7*$U$13)))+$U$20*COS(6*((D45-IF(F45="S",$C$9,0))/($C$7*$U$13)))*SINH(6*((C45-$C$8)/($C$7*$U$13)))+$U$21*COS(8*((D45-IF(F45="S",$C$9,0))/($C$7*$U$13)))*SINH(8*((C45-$C$8)/($C$7*$U$13)))),"")</f>
        <v/>
      </c>
      <c r="M45" s="20">
        <f>IF(AND(ISNUMBER(E45),ISNUMBER(C45),ISNUMBER(D45)),ASIN(SIN(K45)/COSH(L45)),"")</f>
        <v/>
      </c>
      <c r="N45" s="5" t="n"/>
      <c r="O45" s="5" t="n"/>
      <c r="P45" s="5" t="n"/>
      <c r="Q45" s="5" t="n"/>
      <c r="R45" s="5" t="n"/>
      <c r="T45" s="26">
        <f>IF(G45="","",INT(ABS(G45))&amp;"° "&amp;INT(MOD(ABS(G45),1)*60)&amp;"' "&amp;TEXT(MOD(MOD(ABS(G45),1)*60,1)*60,"00.000")&amp;""" "&amp;IF(G45&gt;=0,"N","S"))</f>
        <v/>
      </c>
      <c r="U45" s="26">
        <f>IF(H45="","",INT(ABS(H45))&amp;"° "&amp;INT(MOD(ABS(H45),1)*60)&amp;"' "&amp;TEXT(MOD(MOD(ABS(H45),1)*60,1)*60,"00.000")&amp;""" "&amp;IF(H45&gt;=0,"E","W"))</f>
        <v/>
      </c>
    </row>
    <row r="46">
      <c r="A46" s="23" t="n"/>
      <c r="B46" s="13" t="n"/>
      <c r="C46" s="28" t="n"/>
      <c r="D46" s="28" t="n"/>
      <c r="E46" s="23" t="n"/>
      <c r="F46" s="13" t="n"/>
      <c r="G46" s="29">
        <f>IF(AND(ISNUMBER(E46),ISNUMBER(C46),ISNUMBER(D46)),DEGREES(M46+$U$22*SIN(2*M46)+$U$23*SIN(4*M46)+$U$24*SIN(6*M46)+$U$25*SIN(8*M46)),"")</f>
        <v/>
      </c>
      <c r="H46" s="29">
        <f>IF(AND(ISNUMBER(E46),ISNUMBER(C46),ISNUMBER(D46)),(E46-1)*6-180+3+DEGREES(ATAN(SINH(L46)/COS(K46))),"")</f>
        <v/>
      </c>
      <c r="I46" s="5" t="n"/>
      <c r="J46" s="5" t="n"/>
      <c r="K46" s="20">
        <f>IF(AND(ISNUMBER(E46),ISNUMBER(C46),ISNUMBER(D46)),((D46-IF(F46="S",$C$9,0))/($C$7*$U$13))-($U$18*SIN(2*((D46-IF(F46="S",$C$9,0))/($C$7*$U$13)))*COSH(2*((C46-$C$8)/($C$7*$U$13)))+$U$19*SIN(4*((D46-IF(F46="S",$C$9,0))/($C$7*$U$13)))*COSH(4*((C46-$C$8)/($C$7*$U$13)))+$U$20*SIN(6*((D46-IF(F46="S",$C$9,0))/($C$7*$U$13)))*COSH(6*((C46-$C$8)/($C$7*$U$13)))+$U$21*SIN(8*((D46-IF(F46="S",$C$9,0))/($C$7*$U$13)))*COSH(8*((C46-$C$8)/($C$7*$U$13)))),"")</f>
        <v/>
      </c>
      <c r="L46" s="20">
        <f>IF(AND(ISNUMBER(E46),ISNUMBER(C46),ISNUMBER(D46)),((C46-$C$8)/($C$7*$U$13))-($U$18*COS(2*((D46-IF(F46="S",$C$9,0))/($C$7*$U$13)))*SINH(2*((C46-$C$8)/($C$7*$U$13)))+$U$19*COS(4*((D46-IF(F46="S",$C$9,0))/($C$7*$U$13)))*SINH(4*((C46-$C$8)/($C$7*$U$13)))+$U$20*COS(6*((D46-IF(F46="S",$C$9,0))/($C$7*$U$13)))*SINH(6*((C46-$C$8)/($C$7*$U$13)))+$U$21*COS(8*((D46-IF(F46="S",$C$9,0))/($C$7*$U$13)))*SINH(8*((C46-$C$8)/($C$7*$U$13)))),"")</f>
        <v/>
      </c>
      <c r="M46" s="20">
        <f>IF(AND(ISNUMBER(E46),ISNUMBER(C46),ISNUMBER(D46)),ASIN(SIN(K46)/COSH(L46)),"")</f>
        <v/>
      </c>
      <c r="N46" s="5" t="n"/>
      <c r="O46" s="5" t="n"/>
      <c r="P46" s="5" t="n"/>
      <c r="Q46" s="5" t="n"/>
      <c r="R46" s="5" t="n"/>
      <c r="T46" s="26">
        <f>IF(G46="","",INT(ABS(G46))&amp;"° "&amp;INT(MOD(ABS(G46),1)*60)&amp;"' "&amp;TEXT(MOD(MOD(ABS(G46),1)*60,1)*60,"00.000")&amp;""" "&amp;IF(G46&gt;=0,"N","S"))</f>
        <v/>
      </c>
      <c r="U46" s="26">
        <f>IF(H46="","",INT(ABS(H46))&amp;"° "&amp;INT(MOD(ABS(H46),1)*60)&amp;"' "&amp;TEXT(MOD(MOD(ABS(H46),1)*60,1)*60,"00.000")&amp;""" "&amp;IF(H46&gt;=0,"E","W"))</f>
        <v/>
      </c>
    </row>
    <row r="47">
      <c r="A47" s="23" t="n"/>
      <c r="B47" s="13" t="n"/>
      <c r="C47" s="28" t="n"/>
      <c r="D47" s="28" t="n"/>
      <c r="E47" s="23" t="n"/>
      <c r="F47" s="13" t="n"/>
      <c r="G47" s="29">
        <f>IF(AND(ISNUMBER(E47),ISNUMBER(C47),ISNUMBER(D47)),DEGREES(M47+$U$22*SIN(2*M47)+$U$23*SIN(4*M47)+$U$24*SIN(6*M47)+$U$25*SIN(8*M47)),"")</f>
        <v/>
      </c>
      <c r="H47" s="29">
        <f>IF(AND(ISNUMBER(E47),ISNUMBER(C47),ISNUMBER(D47)),(E47-1)*6-180+3+DEGREES(ATAN(SINH(L47)/COS(K47))),"")</f>
        <v/>
      </c>
      <c r="I47" s="5" t="n"/>
      <c r="J47" s="5" t="n"/>
      <c r="K47" s="20">
        <f>IF(AND(ISNUMBER(E47),ISNUMBER(C47),ISNUMBER(D47)),((D47-IF(F47="S",$C$9,0))/($C$7*$U$13))-($U$18*SIN(2*((D47-IF(F47="S",$C$9,0))/($C$7*$U$13)))*COSH(2*((C47-$C$8)/($C$7*$U$13)))+$U$19*SIN(4*((D47-IF(F47="S",$C$9,0))/($C$7*$U$13)))*COSH(4*((C47-$C$8)/($C$7*$U$13)))+$U$20*SIN(6*((D47-IF(F47="S",$C$9,0))/($C$7*$U$13)))*COSH(6*((C47-$C$8)/($C$7*$U$13)))+$U$21*SIN(8*((D47-IF(F47="S",$C$9,0))/($C$7*$U$13)))*COSH(8*((C47-$C$8)/($C$7*$U$13)))),"")</f>
        <v/>
      </c>
      <c r="L47" s="20">
        <f>IF(AND(ISNUMBER(E47),ISNUMBER(C47),ISNUMBER(D47)),((C47-$C$8)/($C$7*$U$13))-($U$18*COS(2*((D47-IF(F47="S",$C$9,0))/($C$7*$U$13)))*SINH(2*((C47-$C$8)/($C$7*$U$13)))+$U$19*COS(4*((D47-IF(F47="S",$C$9,0))/($C$7*$U$13)))*SINH(4*((C47-$C$8)/($C$7*$U$13)))+$U$20*COS(6*((D47-IF(F47="S",$C$9,0))/($C$7*$U$13)))*SINH(6*((C47-$C$8)/($C$7*$U$13)))+$U$21*COS(8*((D47-IF(F47="S",$C$9,0))/($C$7*$U$13)))*SINH(8*((C47-$C$8)/($C$7*$U$13)))),"")</f>
        <v/>
      </c>
      <c r="M47" s="20">
        <f>IF(AND(ISNUMBER(E47),ISNUMBER(C47),ISNUMBER(D47)),ASIN(SIN(K47)/COSH(L47)),"")</f>
        <v/>
      </c>
      <c r="N47" s="5" t="n"/>
      <c r="O47" s="5" t="n"/>
      <c r="P47" s="5" t="n"/>
      <c r="Q47" s="5" t="n"/>
      <c r="R47" s="5" t="n"/>
      <c r="T47" s="26">
        <f>IF(G47="","",INT(ABS(G47))&amp;"° "&amp;INT(MOD(ABS(G47),1)*60)&amp;"' "&amp;TEXT(MOD(MOD(ABS(G47),1)*60,1)*60,"00.000")&amp;""" "&amp;IF(G47&gt;=0,"N","S"))</f>
        <v/>
      </c>
      <c r="U47" s="26">
        <f>IF(H47="","",INT(ABS(H47))&amp;"° "&amp;INT(MOD(ABS(H47),1)*60)&amp;"' "&amp;TEXT(MOD(MOD(ABS(H47),1)*60,1)*60,"00.000")&amp;""" "&amp;IF(H47&gt;=0,"E","W"))</f>
        <v/>
      </c>
    </row>
    <row r="48">
      <c r="A48" s="23" t="n"/>
      <c r="B48" s="13" t="n"/>
      <c r="C48" s="28" t="n"/>
      <c r="D48" s="28" t="n"/>
      <c r="E48" s="23" t="n"/>
      <c r="F48" s="13" t="n"/>
      <c r="G48" s="29">
        <f>IF(AND(ISNUMBER(E48),ISNUMBER(C48),ISNUMBER(D48)),DEGREES(M48+$U$22*SIN(2*M48)+$U$23*SIN(4*M48)+$U$24*SIN(6*M48)+$U$25*SIN(8*M48)),"")</f>
        <v/>
      </c>
      <c r="H48" s="29">
        <f>IF(AND(ISNUMBER(E48),ISNUMBER(C48),ISNUMBER(D48)),(E48-1)*6-180+3+DEGREES(ATAN(SINH(L48)/COS(K48))),"")</f>
        <v/>
      </c>
      <c r="I48" s="5" t="n"/>
      <c r="J48" s="5" t="n"/>
      <c r="K48" s="20">
        <f>IF(AND(ISNUMBER(E48),ISNUMBER(C48),ISNUMBER(D48)),((D48-IF(F48="S",$C$9,0))/($C$7*$U$13))-($U$18*SIN(2*((D48-IF(F48="S",$C$9,0))/($C$7*$U$13)))*COSH(2*((C48-$C$8)/($C$7*$U$13)))+$U$19*SIN(4*((D48-IF(F48="S",$C$9,0))/($C$7*$U$13)))*COSH(4*((C48-$C$8)/($C$7*$U$13)))+$U$20*SIN(6*((D48-IF(F48="S",$C$9,0))/($C$7*$U$13)))*COSH(6*((C48-$C$8)/($C$7*$U$13)))+$U$21*SIN(8*((D48-IF(F48="S",$C$9,0))/($C$7*$U$13)))*COSH(8*((C48-$C$8)/($C$7*$U$13)))),"")</f>
        <v/>
      </c>
      <c r="L48" s="20">
        <f>IF(AND(ISNUMBER(E48),ISNUMBER(C48),ISNUMBER(D48)),((C48-$C$8)/($C$7*$U$13))-($U$18*COS(2*((D48-IF(F48="S",$C$9,0))/($C$7*$U$13)))*SINH(2*((C48-$C$8)/($C$7*$U$13)))+$U$19*COS(4*((D48-IF(F48="S",$C$9,0))/($C$7*$U$13)))*SINH(4*((C48-$C$8)/($C$7*$U$13)))+$U$20*COS(6*((D48-IF(F48="S",$C$9,0))/($C$7*$U$13)))*SINH(6*((C48-$C$8)/($C$7*$U$13)))+$U$21*COS(8*((D48-IF(F48="S",$C$9,0))/($C$7*$U$13)))*SINH(8*((C48-$C$8)/($C$7*$U$13)))),"")</f>
        <v/>
      </c>
      <c r="M48" s="20">
        <f>IF(AND(ISNUMBER(E48),ISNUMBER(C48),ISNUMBER(D48)),ASIN(SIN(K48)/COSH(L48)),"")</f>
        <v/>
      </c>
      <c r="N48" s="5" t="n"/>
      <c r="O48" s="5" t="n"/>
      <c r="P48" s="5" t="n"/>
      <c r="Q48" s="5" t="n"/>
      <c r="R48" s="5" t="n"/>
      <c r="T48" s="26">
        <f>IF(G48="","",INT(ABS(G48))&amp;"° "&amp;INT(MOD(ABS(G48),1)*60)&amp;"' "&amp;TEXT(MOD(MOD(ABS(G48),1)*60,1)*60,"00.000")&amp;""" "&amp;IF(G48&gt;=0,"N","S"))</f>
        <v/>
      </c>
      <c r="U48" s="26">
        <f>IF(H48="","",INT(ABS(H48))&amp;"° "&amp;INT(MOD(ABS(H48),1)*60)&amp;"' "&amp;TEXT(MOD(MOD(ABS(H48),1)*60,1)*60,"00.000")&amp;""" "&amp;IF(H48&gt;=0,"E","W"))</f>
        <v/>
      </c>
    </row>
    <row r="49">
      <c r="A49" s="23" t="n"/>
      <c r="B49" s="13" t="n"/>
      <c r="C49" s="28" t="n"/>
      <c r="D49" s="28" t="n"/>
      <c r="E49" s="23" t="n"/>
      <c r="F49" s="13" t="n"/>
      <c r="G49" s="29">
        <f>IF(AND(ISNUMBER(E49),ISNUMBER(C49),ISNUMBER(D49)),DEGREES(M49+$U$22*SIN(2*M49)+$U$23*SIN(4*M49)+$U$24*SIN(6*M49)+$U$25*SIN(8*M49)),"")</f>
        <v/>
      </c>
      <c r="H49" s="29">
        <f>IF(AND(ISNUMBER(E49),ISNUMBER(C49),ISNUMBER(D49)),(E49-1)*6-180+3+DEGREES(ATAN(SINH(L49)/COS(K49))),"")</f>
        <v/>
      </c>
      <c r="I49" s="5" t="n"/>
      <c r="J49" s="5" t="n"/>
      <c r="K49" s="20">
        <f>IF(AND(ISNUMBER(E49),ISNUMBER(C49),ISNUMBER(D49)),((D49-IF(F49="S",$C$9,0))/($C$7*$U$13))-($U$18*SIN(2*((D49-IF(F49="S",$C$9,0))/($C$7*$U$13)))*COSH(2*((C49-$C$8)/($C$7*$U$13)))+$U$19*SIN(4*((D49-IF(F49="S",$C$9,0))/($C$7*$U$13)))*COSH(4*((C49-$C$8)/($C$7*$U$13)))+$U$20*SIN(6*((D49-IF(F49="S",$C$9,0))/($C$7*$U$13)))*COSH(6*((C49-$C$8)/($C$7*$U$13)))+$U$21*SIN(8*((D49-IF(F49="S",$C$9,0))/($C$7*$U$13)))*COSH(8*((C49-$C$8)/($C$7*$U$13)))),"")</f>
        <v/>
      </c>
      <c r="L49" s="20">
        <f>IF(AND(ISNUMBER(E49),ISNUMBER(C49),ISNUMBER(D49)),((C49-$C$8)/($C$7*$U$13))-($U$18*COS(2*((D49-IF(F49="S",$C$9,0))/($C$7*$U$13)))*SINH(2*((C49-$C$8)/($C$7*$U$13)))+$U$19*COS(4*((D49-IF(F49="S",$C$9,0))/($C$7*$U$13)))*SINH(4*((C49-$C$8)/($C$7*$U$13)))+$U$20*COS(6*((D49-IF(F49="S",$C$9,0))/($C$7*$U$13)))*SINH(6*((C49-$C$8)/($C$7*$U$13)))+$U$21*COS(8*((D49-IF(F49="S",$C$9,0))/($C$7*$U$13)))*SINH(8*((C49-$C$8)/($C$7*$U$13)))),"")</f>
        <v/>
      </c>
      <c r="M49" s="20">
        <f>IF(AND(ISNUMBER(E49),ISNUMBER(C49),ISNUMBER(D49)),ASIN(SIN(K49)/COSH(L49)),"")</f>
        <v/>
      </c>
      <c r="N49" s="5" t="n"/>
      <c r="O49" s="5" t="n"/>
      <c r="P49" s="5" t="n"/>
      <c r="Q49" s="5" t="n"/>
      <c r="R49" s="5" t="n"/>
      <c r="T49" s="26">
        <f>IF(G49="","",INT(ABS(G49))&amp;"° "&amp;INT(MOD(ABS(G49),1)*60)&amp;"' "&amp;TEXT(MOD(MOD(ABS(G49),1)*60,1)*60,"00.000")&amp;""" "&amp;IF(G49&gt;=0,"N","S"))</f>
        <v/>
      </c>
      <c r="U49" s="26">
        <f>IF(H49="","",INT(ABS(H49))&amp;"° "&amp;INT(MOD(ABS(H49),1)*60)&amp;"' "&amp;TEXT(MOD(MOD(ABS(H49),1)*60,1)*60,"00.000")&amp;""" "&amp;IF(H49&gt;=0,"E","W"))</f>
        <v/>
      </c>
    </row>
    <row r="50">
      <c r="A50" s="23" t="n"/>
      <c r="B50" s="13" t="n"/>
      <c r="C50" s="28" t="n"/>
      <c r="D50" s="28" t="n"/>
      <c r="E50" s="23" t="n"/>
      <c r="F50" s="13" t="n"/>
      <c r="G50" s="29">
        <f>IF(AND(ISNUMBER(E50),ISNUMBER(C50),ISNUMBER(D50)),DEGREES(M50+$U$22*SIN(2*M50)+$U$23*SIN(4*M50)+$U$24*SIN(6*M50)+$U$25*SIN(8*M50)),"")</f>
        <v/>
      </c>
      <c r="H50" s="29">
        <f>IF(AND(ISNUMBER(E50),ISNUMBER(C50),ISNUMBER(D50)),(E50-1)*6-180+3+DEGREES(ATAN(SINH(L50)/COS(K50))),"")</f>
        <v/>
      </c>
      <c r="I50" s="5" t="n"/>
      <c r="J50" s="5" t="n"/>
      <c r="K50" s="20">
        <f>IF(AND(ISNUMBER(E50),ISNUMBER(C50),ISNUMBER(D50)),((D50-IF(F50="S",$C$9,0))/($C$7*$U$13))-($U$18*SIN(2*((D50-IF(F50="S",$C$9,0))/($C$7*$U$13)))*COSH(2*((C50-$C$8)/($C$7*$U$13)))+$U$19*SIN(4*((D50-IF(F50="S",$C$9,0))/($C$7*$U$13)))*COSH(4*((C50-$C$8)/($C$7*$U$13)))+$U$20*SIN(6*((D50-IF(F50="S",$C$9,0))/($C$7*$U$13)))*COSH(6*((C50-$C$8)/($C$7*$U$13)))+$U$21*SIN(8*((D50-IF(F50="S",$C$9,0))/($C$7*$U$13)))*COSH(8*((C50-$C$8)/($C$7*$U$13)))),"")</f>
        <v/>
      </c>
      <c r="L50" s="20">
        <f>IF(AND(ISNUMBER(E50),ISNUMBER(C50),ISNUMBER(D50)),((C50-$C$8)/($C$7*$U$13))-($U$18*COS(2*((D50-IF(F50="S",$C$9,0))/($C$7*$U$13)))*SINH(2*((C50-$C$8)/($C$7*$U$13)))+$U$19*COS(4*((D50-IF(F50="S",$C$9,0))/($C$7*$U$13)))*SINH(4*((C50-$C$8)/($C$7*$U$13)))+$U$20*COS(6*((D50-IF(F50="S",$C$9,0))/($C$7*$U$13)))*SINH(6*((C50-$C$8)/($C$7*$U$13)))+$U$21*COS(8*((D50-IF(F50="S",$C$9,0))/($C$7*$U$13)))*SINH(8*((C50-$C$8)/($C$7*$U$13)))),"")</f>
        <v/>
      </c>
      <c r="M50" s="20">
        <f>IF(AND(ISNUMBER(E50),ISNUMBER(C50),ISNUMBER(D50)),ASIN(SIN(K50)/COSH(L50)),"")</f>
        <v/>
      </c>
      <c r="N50" s="5" t="n"/>
      <c r="O50" s="5" t="n"/>
      <c r="P50" s="5" t="n"/>
      <c r="Q50" s="5" t="n"/>
      <c r="R50" s="5" t="n"/>
      <c r="T50" s="26">
        <f>IF(G50="","",INT(ABS(G50))&amp;"° "&amp;INT(MOD(ABS(G50),1)*60)&amp;"' "&amp;TEXT(MOD(MOD(ABS(G50),1)*60,1)*60,"00.000")&amp;""" "&amp;IF(G50&gt;=0,"N","S"))</f>
        <v/>
      </c>
      <c r="U50" s="26">
        <f>IF(H50="","",INT(ABS(H50))&amp;"° "&amp;INT(MOD(ABS(H50),1)*60)&amp;"' "&amp;TEXT(MOD(MOD(ABS(H50),1)*60,1)*60,"00.000")&amp;""" "&amp;IF(H50&gt;=0,"E","W"))</f>
        <v/>
      </c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5">
    <mergeCell ref="A3:R3"/>
    <mergeCell ref="A7:B7"/>
    <mergeCell ref="A10:E10"/>
    <mergeCell ref="A9:B9"/>
    <mergeCell ref="C8:E8"/>
    <mergeCell ref="C9:E9"/>
    <mergeCell ref="A11:E11"/>
    <mergeCell ref="A5:E5"/>
    <mergeCell ref="A1:R1"/>
    <mergeCell ref="A37:H37"/>
    <mergeCell ref="T9:U9"/>
    <mergeCell ref="C7:E7"/>
    <mergeCell ref="A8:B8"/>
    <mergeCell ref="A6:B6"/>
    <mergeCell ref="C6:E6"/>
  </mergeCells>
  <dataValidations count="10">
    <dataValidation sqref="C6" showDropDown="0" showInputMessage="0" showErrorMessage="1" allowBlank="1" errorTitle="Sheetaky" error="Pick a value from the list" type="list">
      <formula1>=$T$5:$T$7</formula1>
    </dataValidation>
    <dataValidation sqref="C7" showDropDown="0" showInputMessage="0" showErrorMessage="1" allowBlank="1" errorTitle="Sheetaky" error="Enter a number between 0.99 and 1.01" type="decimal" operator="between">
      <formula1>0.99</formula1>
      <formula2>1.01</formula2>
    </dataValidation>
    <dataValidation sqref="C8" showDropDown="0" showInputMessage="0" showErrorMessage="1" allowBlank="1" errorTitle="Sheetaky" error="Enter a number between 0 and 1000000" type="decimal" operator="between">
      <formula1>0</formula1>
      <formula2>1000000</formula2>
    </dataValidation>
    <dataValidation sqref="C9" showDropDown="0" showInputMessage="0" showErrorMessage="1" allowBlank="1" errorTitle="Sheetaky" error="Enter a number between 0 and 20000000" type="decimal" operator="between">
      <formula1>0</formula1>
      <formula2>20000000</formula2>
    </dataValidation>
    <dataValidation sqref="C15:C34" showDropDown="0" showInputMessage="0" showErrorMessage="1" allowBlank="1" errorTitle="Sheetaky" error="Enter a number between -84 and 84" type="decimal" operator="between">
      <formula1>-84</formula1>
      <formula2>84</formula2>
    </dataValidation>
    <dataValidation sqref="D15:D34" showDropDown="0" showInputMessage="0" showErrorMessage="1" allowBlank="1" errorTitle="Sheetaky" error="Enter a number between -180 and 180" type="decimal" operator="between">
      <formula1>-180</formula1>
      <formula2>180</formula2>
    </dataValidation>
    <dataValidation sqref="E39:E50" showDropDown="0" showInputMessage="0" showErrorMessage="1" allowBlank="1" errorTitle="Sheetaky" error="Enter a number between 1 and 60" type="whole" operator="between">
      <formula1>1</formula1>
      <formula2>60</formula2>
    </dataValidation>
    <dataValidation sqref="F39:F50" showDropDown="0" showInputMessage="0" showErrorMessage="1" allowBlank="1" errorTitle="Sheetaky" error="Pick a value from the list" type="list">
      <formula1>"N,S"</formula1>
    </dataValidation>
    <dataValidation sqref="C39:C50" showDropDown="0" showInputMessage="0" showErrorMessage="1" allowBlank="1" errorTitle="Sheetaky" error="Enter a number between 0 and 1000000" type="decimal" operator="between">
      <formula1>0</formula1>
      <formula2>1000000</formula2>
    </dataValidation>
    <dataValidation sqref="D39:D50" showDropDown="0" showInputMessage="0" showErrorMessage="1" allowBlank="1" errorTitle="Sheetaky" error="Enter a number between 0 and 10000000" type="decimal" operator="between">
      <formula1>0</formula1>
      <formula2>10000000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FB7185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0" t="inlineStr">
        <is>
          <t>How to use: UTM converter</t>
        </is>
      </c>
      <c r="B1" s="2" t="n"/>
    </row>
    <row r="2" ht="18" customHeight="1">
      <c r="A2" s="31" t="inlineStr">
        <is>
          <t>Sheetaky.com · Ready Excel sheets in Arabic and English</t>
        </is>
      </c>
      <c r="B2" s="32" t="n"/>
    </row>
    <row r="4" ht="22" customHeight="1">
      <c r="A4" s="7" t="inlineStr">
        <is>
          <t>What is this sheet?</t>
        </is>
      </c>
      <c r="B4" s="8" t="n"/>
    </row>
    <row r="5" ht="30" customHeight="1">
      <c r="A5" s="33" t="inlineStr">
        <is>
          <t>Converts between latitude/longitude (decimal degrees) and UTM coordinates with Krüger series accurate to millimetres within the zone, picking the UTM zone automatically.</t>
        </is>
      </c>
    </row>
    <row r="7" ht="22" customHeight="1">
      <c r="A7" s="7" t="inlineStr">
        <is>
          <t>Steps</t>
        </is>
      </c>
      <c r="B7" s="8" t="n"/>
    </row>
    <row r="8" ht="20" customHeight="1">
      <c r="A8" s="34" t="n">
        <v>1</v>
      </c>
      <c r="B8" s="33" t="inlineStr">
        <is>
          <t>Pick the ellipsoid (default WGS84) in settings.</t>
        </is>
      </c>
    </row>
    <row r="9" ht="20" customHeight="1">
      <c r="A9" s="34" t="n">
        <v>2</v>
      </c>
      <c r="B9" s="33" t="inlineStr">
        <is>
          <t>Enter latitude and longitude for each point to get zone, E and N.</t>
        </is>
      </c>
    </row>
    <row r="10" ht="20" customHeight="1">
      <c r="A10" s="34" t="n">
        <v>3</v>
      </c>
      <c r="B10" s="33" t="inlineStr">
        <is>
          <t>In the second table enter zone, hemisphere and UTM coordinates to get geographic coordinates.</t>
        </is>
      </c>
    </row>
    <row r="11" ht="20" customHeight="1">
      <c r="A11" s="34" t="n">
        <v>4</v>
      </c>
      <c r="B11" s="33" t="inlineStr">
        <is>
          <t>The intermediate columns (t, ξ, η) are computed and can be collapsed.</t>
        </is>
      </c>
    </row>
    <row r="13" ht="22" customHeight="1">
      <c r="A13" s="7" t="inlineStr">
        <is>
          <t>Color legend</t>
        </is>
      </c>
      <c r="B13" s="8" t="n"/>
    </row>
    <row r="14">
      <c r="A14" s="35" t="inlineStr"/>
      <c r="B14" s="33" t="inlineStr">
        <is>
          <t>Input cell: type or choose your value here (blue text on yellow).</t>
        </is>
      </c>
    </row>
    <row r="15">
      <c r="A15" s="36" t="inlineStr"/>
      <c r="B15" s="33" t="inlineStr">
        <is>
          <t>Calculated cell: automatic formula, protected from accidental edits.</t>
        </is>
      </c>
    </row>
    <row r="16">
      <c r="A16" s="37" t="inlineStr"/>
      <c r="B16" s="33" t="inlineStr">
        <is>
          <t>Table and section headers.</t>
        </is>
      </c>
    </row>
    <row r="18" ht="22" customHeight="1">
      <c r="A18" s="7" t="inlineStr">
        <is>
          <t>Important notes</t>
        </is>
      </c>
      <c r="B18" s="8" t="n"/>
    </row>
    <row r="19" ht="20" customHeight="1">
      <c r="A19" s="38" t="inlineStr">
        <is>
          <t>•</t>
        </is>
      </c>
      <c r="B19" s="39" t="inlineStr">
        <is>
          <t>Accuracy is survey-grade within 3° of the zone central meridian.</t>
        </is>
      </c>
    </row>
    <row r="20" ht="20" customHeight="1">
      <c r="A20" s="38" t="inlineStr">
        <is>
          <t>•</t>
        </is>
      </c>
      <c r="B20" s="39" t="inlineStr">
        <is>
          <t>For the southern hemisphere the 10,000,000 offset is added automatically.</t>
        </is>
      </c>
    </row>
    <row r="21" ht="20" customHeight="1">
      <c r="A21" s="38" t="inlineStr">
        <is>
          <t>•</t>
        </is>
      </c>
      <c r="B21" s="39" t="inlineStr">
        <is>
          <t>Does not replace the project coordinate system (for example local grids); verify it.</t>
        </is>
      </c>
    </row>
    <row r="22" ht="30" customHeight="1">
      <c r="A22" s="38" t="inlineStr">
        <is>
          <t>•</t>
        </is>
      </c>
      <c r="B22" s="39" t="inlineStr">
        <is>
          <t>Sheets are protected without a password to keep formulas safe. To unprotect: Review → Unprotect Sheet.</t>
        </is>
      </c>
    </row>
    <row r="23" ht="20" customHeight="1">
      <c r="A23" s="38" t="inlineStr">
        <is>
          <t>•</t>
        </is>
      </c>
      <c r="B23" s="39" t="inlineStr">
        <is>
          <t>The data shown is a worked example. Clear it and type your own data in the yellow cells only.</t>
        </is>
      </c>
    </row>
    <row r="24" ht="20" customHeight="1">
      <c r="A24" s="38" t="inlineStr">
        <is>
          <t>•</t>
        </is>
      </c>
      <c r="B24" s="39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UTM</dc:title>
  <dcterms:created xmlns:dcterms="http://purl.org/dc/terms/" xmlns:xsi="http://www.w3.org/2001/XMLSchema-instance" xsi:type="dcterms:W3CDTF">2026-10-23T13:13:49Z</dcterms:created>
  <dcterms:modified xmlns:dcterms="http://purl.org/dc/terms/" xmlns:xsi="http://www.w3.org/2001/XMLSchema-instance" xsi:type="dcterms:W3CDTF">2026-10-23T13:13:49Z</dcterms:modified>
</cp:coreProperties>
</file>