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ttals Log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0000"/>
    <numFmt numFmtId="166" formatCode="0.0"/>
  </numFmts>
  <fonts count="1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FFFFFF"/>
      <sz val="9"/>
    </font>
    <font>
      <name val="Calibri"/>
      <b val="1"/>
      <color rgb="00FFFFFF"/>
      <sz val="10"/>
    </font>
    <font>
      <name val="Calibri"/>
      <color rgb="001F4FB5"/>
      <sz val="10"/>
    </font>
    <font>
      <name val="Calibri"/>
      <b val="1"/>
      <color rgb="001E3A8A"/>
      <sz val="11"/>
    </font>
    <font>
      <name val="Calibri"/>
      <b val="1"/>
      <color rgb="00152245"/>
      <sz val="10"/>
    </font>
    <font>
      <name val="Calibri"/>
      <i val="1"/>
      <color rgb="00586A9A"/>
      <sz val="9"/>
    </font>
    <font>
      <name val="Calibri"/>
      <color rgb="00152245"/>
      <sz val="10"/>
    </font>
    <font>
      <name val="Calibri"/>
      <color rgb="00BBBBBB"/>
      <sz val="7"/>
    </font>
    <font>
      <name val="Calibri"/>
      <b val="1"/>
      <color rgb="00FFFFFF"/>
      <sz val="9"/>
    </font>
    <font>
      <name val="Calibri"/>
      <b val="1"/>
      <color rgb="00F97316"/>
      <sz val="18"/>
    </font>
    <font>
      <name val="Calibri"/>
      <b val="1"/>
      <color rgb="00586A9A"/>
      <sz val="9"/>
    </font>
    <font>
      <name val="Calibri"/>
      <b val="1"/>
      <color rgb="001D4ED8"/>
      <sz val="18"/>
    </font>
    <font>
      <name val="Calibri"/>
      <b val="1"/>
      <color rgb="00F97316"/>
      <sz val="10"/>
    </font>
  </fonts>
  <fills count="7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1E3A8A"/>
      </patternFill>
    </fill>
    <fill>
      <patternFill patternType="solid">
        <fgColor rgb="00FFEDD5"/>
      </patternFill>
    </fill>
    <fill>
      <patternFill patternType="solid">
        <fgColor rgb="00DBE6FD"/>
      </patternFill>
    </fill>
    <fill>
      <patternFill patternType="solid">
        <fgColor rgb="00DCE7FE"/>
      </patternFill>
    </fill>
  </fills>
  <borders count="4">
    <border>
      <left/>
      <right/>
      <top/>
      <bottom/>
      <diagonal/>
    </border>
    <border>
      <left style="thin">
        <color rgb="00B6C8F5"/>
      </left>
      <right style="thin">
        <color rgb="00B6C8F5"/>
      </right>
      <top style="thin">
        <color rgb="00B6C8F5"/>
      </top>
      <bottom style="thin">
        <color rgb="00B6C8F5"/>
      </bottom>
    </border>
    <border>
      <top style="medium">
        <color rgb="00F97316"/>
      </top>
    </border>
    <border/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10" fillId="3" borderId="2" applyAlignment="1" pivotButton="0" quotePrefix="0" xfId="0">
      <alignment horizontal="center" vertical="center" wrapText="1" readingOrder="1"/>
    </xf>
    <xf numFmtId="0" fontId="0" fillId="3" borderId="2" pivotButton="0" quotePrefix="0" xfId="0"/>
    <xf numFmtId="0" fontId="12" fillId="5" borderId="2" applyAlignment="1" pivotButton="0" quotePrefix="0" xfId="0">
      <alignment horizontal="center" vertical="center" wrapText="1" readingOrder="1"/>
    </xf>
    <xf numFmtId="0" fontId="0" fillId="5" borderId="2" pivotButton="0" quotePrefix="0" xfId="0"/>
    <xf numFmtId="0" fontId="3" fillId="2" borderId="1" applyAlignment="1" pivotButton="0" quotePrefix="0" xfId="0">
      <alignment horizontal="center" vertical="center" wrapText="1" readingOrder="1"/>
    </xf>
    <xf numFmtId="0" fontId="5" fillId="5" borderId="1" applyAlignment="1" pivotButton="0" quotePrefix="0" xfId="0">
      <alignment horizontal="left" vertical="center" wrapText="1" readingOrder="1"/>
    </xf>
    <xf numFmtId="0" fontId="0" fillId="5" borderId="1" pivotButton="0" quotePrefix="0" xfId="0"/>
    <xf numFmtId="1" fontId="11" fillId="2" borderId="3" applyAlignment="1" pivotButton="0" quotePrefix="0" xfId="0">
      <alignment horizontal="center" vertical="center" wrapText="1" readingOrder="1"/>
    </xf>
    <xf numFmtId="0" fontId="0" fillId="2" borderId="3" pivotButton="0" quotePrefix="0" xfId="0"/>
    <xf numFmtId="9" fontId="13" fillId="6" borderId="3" applyAlignment="1" pivotButton="0" quotePrefix="0" xfId="0">
      <alignment horizontal="center" vertical="center" wrapText="1" readingOrder="1"/>
    </xf>
    <xf numFmtId="0" fontId="0" fillId="6" borderId="3" pivotButton="0" quotePrefix="0" xfId="0"/>
    <xf numFmtId="1" fontId="13" fillId="6" borderId="3" applyAlignment="1" pivotButton="0" quotePrefix="0" xfId="0">
      <alignment horizontal="center" vertical="center" wrapText="1" readingOrder="1"/>
    </xf>
    <xf numFmtId="166" fontId="11" fillId="2" borderId="3" applyAlignment="1" pivotButton="0" quotePrefix="0" xfId="0">
      <alignment horizontal="center" vertical="center" wrapText="1" readingOrder="1"/>
    </xf>
    <xf numFmtId="0" fontId="4" fillId="4" borderId="1" applyAlignment="1" applyProtection="1" pivotButton="0" quotePrefix="0" xfId="0">
      <alignment horizontal="center" vertical="center" wrapText="1" readingOrder="1"/>
      <protection locked="0" hidden="0"/>
    </xf>
    <xf numFmtId="0" fontId="6" fillId="0" borderId="1" applyAlignment="1" pivotButton="0" quotePrefix="0" xfId="0">
      <alignment horizontal="left" vertical="center" wrapText="1" readingOrder="1"/>
    </xf>
    <xf numFmtId="164" fontId="4" fillId="4" borderId="1" applyAlignment="1" applyProtection="1" pivotButton="0" quotePrefix="0" xfId="0">
      <alignment horizontal="center" vertical="center" wrapText="1" readingOrder="1"/>
      <protection locked="0" hidden="0"/>
    </xf>
    <xf numFmtId="1" fontId="4" fillId="4" borderId="1" applyAlignment="1" applyProtection="1" pivotButton="0" quotePrefix="0" xfId="0">
      <alignment horizontal="center" vertical="center" wrapText="1" readingOrder="1"/>
      <protection locked="0" hidden="0"/>
    </xf>
    <xf numFmtId="0" fontId="6" fillId="5" borderId="1" applyAlignment="1" pivotButton="0" quotePrefix="0" xfId="0">
      <alignment horizontal="center" vertical="center" wrapText="1" readingOrder="1"/>
    </xf>
    <xf numFmtId="0" fontId="7" fillId="0" borderId="0" applyAlignment="1" pivotButton="0" quotePrefix="0" xfId="0">
      <alignment horizontal="left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1" fontId="8" fillId="6" borderId="1" applyAlignment="1" pivotButton="0" quotePrefix="0" xfId="0">
      <alignment horizontal="center" vertical="center" wrapText="1" readingOrder="1"/>
    </xf>
    <xf numFmtId="0" fontId="8" fillId="6" borderId="1" applyAlignment="1" pivotButton="0" quotePrefix="0" xfId="0">
      <alignment horizontal="left" vertical="center" wrapText="1" readingOrder="1"/>
    </xf>
    <xf numFmtId="1" fontId="6" fillId="6" borderId="1" applyAlignment="1" pivotButton="0" quotePrefix="0" xfId="0">
      <alignment horizontal="center" vertical="center" wrapText="1" readingOrder="1"/>
    </xf>
    <xf numFmtId="0" fontId="8" fillId="6" borderId="1" applyAlignment="1" pivotButton="0" quotePrefix="0" xfId="0">
      <alignment horizontal="center" vertical="center" wrapText="1" readingOrder="1"/>
    </xf>
    <xf numFmtId="0" fontId="4" fillId="4" borderId="1" applyAlignment="1" applyProtection="1" pivotButton="0" quotePrefix="0" xfId="0">
      <alignment horizontal="left" vertical="center" wrapText="1" readingOrder="1"/>
      <protection locked="0" hidden="0"/>
    </xf>
    <xf numFmtId="164" fontId="8" fillId="6" borderId="1" applyAlignment="1" pivotButton="0" quotePrefix="0" xfId="0">
      <alignment horizontal="center" vertical="center" wrapText="1" readingOrder="1"/>
    </xf>
    <xf numFmtId="165" fontId="9" fillId="0" borderId="0" applyAlignment="1" pivotButton="0" quotePrefix="0" xfId="0">
      <alignment horizontal="center" vertical="center" wrapText="1" readingOrder="1"/>
    </xf>
    <xf numFmtId="0" fontId="8" fillId="0" borderId="1" applyAlignment="1" pivotButton="0" quotePrefix="0" xfId="0">
      <alignment horizontal="left" vertical="center" wrapText="1" readingOrder="1"/>
    </xf>
    <xf numFmtId="0" fontId="3" fillId="2" borderId="1" applyAlignment="1" pivotButton="0" quotePrefix="0" xfId="0">
      <alignment horizontal="left" vertical="center" wrapText="1" readingOrder="1"/>
    </xf>
    <xf numFmtId="0" fontId="8" fillId="2" borderId="1" applyAlignment="1" pivotButton="0" quotePrefix="0" xfId="0">
      <alignment horizontal="left" vertical="center" wrapText="1" readingOrder="1"/>
    </xf>
    <xf numFmtId="0" fontId="14" fillId="0" borderId="0" applyAlignment="1" pivotButton="0" quotePrefix="0" xfId="0">
      <alignment horizontal="left" vertical="center" wrapText="1" readingOrder="1"/>
    </xf>
    <xf numFmtId="0" fontId="8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6">
    <dxf>
      <font>
        <name val="Calibri"/>
        <b val="1"/>
        <color rgb="00FFFFFF"/>
      </font>
      <fill>
        <patternFill patternType="solid">
          <fgColor rgb="00E57373"/>
        </patternFill>
      </fill>
    </dxf>
    <dxf>
      <font>
        <name val="Calibri"/>
        <b val="1"/>
        <color rgb="00152245"/>
      </font>
      <fill>
        <patternFill patternType="solid">
          <fgColor rgb="00FCE38A"/>
        </patternFill>
      </fill>
    </dxf>
    <dxf>
      <font>
        <name val="Calibri"/>
        <color rgb="00152245"/>
      </font>
      <fill>
        <patternFill patternType="solid">
          <fgColor rgb="00B7E1A1"/>
        </patternFill>
      </fill>
    </dxf>
    <dxf>
      <font>
        <name val="Calibri"/>
        <b val="1"/>
        <color rgb="00152245"/>
      </font>
      <fill>
        <patternFill patternType="solid">
          <fgColor rgb="00F4C7C3"/>
        </patternFill>
      </fill>
    </dxf>
    <dxf>
      <font>
        <name val="Calibri"/>
        <color rgb="00152245"/>
      </font>
      <fill>
        <patternFill patternType="solid">
          <fgColor rgb="00D6EEDB"/>
        </patternFill>
      </fill>
    </dxf>
    <dxf>
      <font>
        <name val="Calibri"/>
        <color rgb="00152245"/>
      </font>
      <fill>
        <patternFill patternType="solid">
          <fgColor rgb="00F9D5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97316"/>
    <outlinePr summaryBelow="1" summaryRight="1"/>
    <pageSetUpPr fitToPage="1"/>
  </sheetPr>
  <dimension ref="A1:R51"/>
  <sheetViews>
    <sheetView showGridLines="0" rightToLeft="0" zoomScale="100" workbookViewId="0">
      <pane xSplit="2" ySplit="21" topLeftCell="C2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4" customWidth="1" min="2" max="2"/>
    <col width="14" customWidth="1" min="3" max="3"/>
    <col width="13" customWidth="1" min="4" max="4"/>
    <col width="11" customWidth="1" min="5" max="5"/>
    <col width="8" customWidth="1" min="6" max="6"/>
    <col width="11" customWidth="1" min="7" max="7"/>
    <col width="15" customWidth="1" min="8" max="8"/>
    <col width="11" customWidth="1" min="9" max="9"/>
    <col width="6" customWidth="1" min="10" max="10"/>
    <col width="8" customWidth="1" min="11" max="11"/>
    <col width="14" customWidth="1" min="12" max="12"/>
    <col width="11" customWidth="1" min="13" max="13"/>
    <col width="8" customWidth="1" min="14" max="14"/>
    <col width="8" customWidth="1" min="15" max="15"/>
    <col width="11" customWidth="1" min="16" max="16"/>
    <col width="3" customWidth="1" min="17" max="17"/>
    <col width="18" customWidth="1" min="18" max="18"/>
  </cols>
  <sheetData>
    <row r="1" ht="36" customHeight="1">
      <c r="A1" s="1" t="inlineStr">
        <is>
          <t>Submittals Log: Shop Drawings, Samples, Tracking and Delays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</row>
    <row r="2" ht="18" customHeight="1">
      <c r="A2" s="3" t="inlineStr">
        <is>
          <t>Track every drawing and sample: submission, review, status, delay and float before it is needed on site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</row>
    <row r="4" ht="18" customHeight="1">
      <c r="E4" s="5" t="inlineStr">
        <is>
          <t>Total submittals</t>
        </is>
      </c>
      <c r="F4" s="6" t="n"/>
      <c r="G4" s="7" t="inlineStr">
        <is>
          <t>Approved %</t>
        </is>
      </c>
      <c r="H4" s="8" t="n"/>
      <c r="I4" s="5" t="inlineStr">
        <is>
          <t>Overdue reviews</t>
        </is>
      </c>
      <c r="J4" s="6" t="n"/>
      <c r="K4" s="7" t="inlineStr">
        <is>
          <t>At risk</t>
        </is>
      </c>
      <c r="L4" s="8" t="n"/>
      <c r="M4" s="5" t="inlineStr">
        <is>
          <t>Avg review days</t>
        </is>
      </c>
      <c r="N4" s="6" t="n"/>
      <c r="R4" s="9" t="inlineStr">
        <is>
          <t>Type</t>
        </is>
      </c>
    </row>
    <row r="5" ht="34" customHeight="1">
      <c r="A5" s="10" t="inlineStr">
        <is>
          <t>Settings</t>
        </is>
      </c>
      <c r="B5" s="11" t="n"/>
      <c r="C5" s="11" t="n"/>
      <c r="E5" s="12">
        <f>COUNTA($B$22:$B$51)</f>
        <v/>
      </c>
      <c r="F5" s="13" t="n"/>
      <c r="G5" s="14">
        <f>IFERROR((COUNTIF($H$22:$H$51,INDEX($R$13:$R$19,4))+COUNTIF($H$22:$H$51,INDEX($R$13:$R$19,5)))/COUNTA($B$22:$B$51),0)</f>
        <v/>
      </c>
      <c r="H5" s="15" t="n"/>
      <c r="I5" s="12">
        <f>COUNTIF($L$22:$L$51,"Overdue")</f>
        <v/>
      </c>
      <c r="J5" s="13" t="n"/>
      <c r="K5" s="16">
        <f>COUNTIF($P$22:$P$51,"At risk")</f>
        <v/>
      </c>
      <c r="L5" s="15" t="n"/>
      <c r="M5" s="17">
        <f>IFERROR(AVERAGEIF($I$22:$I$51,"&gt;0",$K$22:$K$51),0)</f>
        <v/>
      </c>
      <c r="N5" s="13" t="n"/>
      <c r="R5" s="18" t="inlineStr">
        <is>
          <t>Shop drawing</t>
        </is>
      </c>
    </row>
    <row r="6">
      <c r="A6" s="19" t="inlineStr">
        <is>
          <t>Report date</t>
        </is>
      </c>
      <c r="C6" s="20" t="n">
        <v>46318</v>
      </c>
      <c r="R6" s="18" t="inlineStr">
        <is>
          <t>Material sample</t>
        </is>
      </c>
    </row>
    <row r="7">
      <c r="A7" s="19" t="inlineStr">
        <is>
          <t>Watch threshold for float (days)</t>
        </is>
      </c>
      <c r="C7" s="21" t="n">
        <v>7</v>
      </c>
      <c r="E7" s="22" t="inlineStr">
        <is>
          <t>Status summary</t>
        </is>
      </c>
      <c r="J7" s="22" t="inlineStr">
        <is>
          <t>Closest to risk (lowest float)</t>
        </is>
      </c>
      <c r="R7" s="18" t="inlineStr">
        <is>
          <t>Data sheet</t>
        </is>
      </c>
    </row>
    <row r="8" ht="26" customHeight="1">
      <c r="A8" s="23" t="inlineStr">
        <is>
          <t>Type =TODAY() in the report date to update automatically.</t>
        </is>
      </c>
      <c r="E8" s="24">
        <f>INDEX($R$13:$R$19,1)</f>
        <v/>
      </c>
      <c r="H8" s="25">
        <f>COUNTIF($H$22:$H$51,E8)</f>
        <v/>
      </c>
      <c r="J8" s="24">
        <f>IFERROR(INDEX($A$22:$A$51,MATCH(SMALL($Q$22:$Q$51,1),$Q$22:$Q$51,0)),"")</f>
        <v/>
      </c>
      <c r="L8" s="26">
        <f>IFERROR(INDEX($B$22:$B$51,MATCH(SMALL($Q$22:$Q$51,1),$Q$22:$Q$51,0)),"")</f>
        <v/>
      </c>
      <c r="O8" s="27">
        <f>IFERROR(INDEX($O$22:$O$51,MATCH(SMALL($Q$22:$Q$51,1),$Q$22:$Q$51,0)),"")</f>
        <v/>
      </c>
      <c r="P8" s="28">
        <f>IFERROR(INDEX($P$22:$P$51,MATCH(SMALL($Q$22:$Q$51,1),$Q$22:$Q$51,0)),"")</f>
        <v/>
      </c>
      <c r="R8" s="18" t="inlineStr">
        <is>
          <t>Method statement</t>
        </is>
      </c>
    </row>
    <row r="9">
      <c r="E9" s="24">
        <f>INDEX($R$13:$R$19,2)</f>
        <v/>
      </c>
      <c r="H9" s="25">
        <f>COUNTIF($H$22:$H$51,E9)</f>
        <v/>
      </c>
      <c r="J9" s="24">
        <f>IFERROR(INDEX($A$22:$A$51,MATCH(SMALL($Q$22:$Q$51,2),$Q$22:$Q$51,0)),"")</f>
        <v/>
      </c>
      <c r="L9" s="26">
        <f>IFERROR(INDEX($B$22:$B$51,MATCH(SMALL($Q$22:$Q$51,2),$Q$22:$Q$51,0)),"")</f>
        <v/>
      </c>
      <c r="O9" s="27">
        <f>IFERROR(INDEX($O$22:$O$51,MATCH(SMALL($Q$22:$Q$51,2),$Q$22:$Q$51,0)),"")</f>
        <v/>
      </c>
      <c r="P9" s="28">
        <f>IFERROR(INDEX($P$22:$P$51,MATCH(SMALL($Q$22:$Q$51,2),$Q$22:$Q$51,0)),"")</f>
        <v/>
      </c>
      <c r="R9" s="18" t="inlineStr">
        <is>
          <t>Test report</t>
        </is>
      </c>
    </row>
    <row r="10">
      <c r="E10" s="24">
        <f>INDEX($R$13:$R$19,3)</f>
        <v/>
      </c>
      <c r="H10" s="25">
        <f>COUNTIF($H$22:$H$51,E10)</f>
        <v/>
      </c>
      <c r="J10" s="24">
        <f>IFERROR(INDEX($A$22:$A$51,MATCH(SMALL($Q$22:$Q$51,3),$Q$22:$Q$51,0)),"")</f>
        <v/>
      </c>
      <c r="L10" s="26">
        <f>IFERROR(INDEX($B$22:$B$51,MATCH(SMALL($Q$22:$Q$51,3),$Q$22:$Q$51,0)),"")</f>
        <v/>
      </c>
      <c r="O10" s="27">
        <f>IFERROR(INDEX($O$22:$O$51,MATCH(SMALL($Q$22:$Q$51,3),$Q$22:$Q$51,0)),"")</f>
        <v/>
      </c>
      <c r="P10" s="28">
        <f>IFERROR(INDEX($P$22:$P$51,MATCH(SMALL($Q$22:$Q$51,3),$Q$22:$Q$51,0)),"")</f>
        <v/>
      </c>
      <c r="R10" s="18" t="inlineStr">
        <is>
          <t>Mock-up</t>
        </is>
      </c>
    </row>
    <row r="11">
      <c r="E11" s="24">
        <f>INDEX($R$13:$R$19,4)</f>
        <v/>
      </c>
      <c r="H11" s="25">
        <f>COUNTIF($H$22:$H$51,E11)</f>
        <v/>
      </c>
      <c r="J11" s="24">
        <f>IFERROR(INDEX($A$22:$A$51,MATCH(SMALL($Q$22:$Q$51,4),$Q$22:$Q$51,0)),"")</f>
        <v/>
      </c>
      <c r="L11" s="26">
        <f>IFERROR(INDEX($B$22:$B$51,MATCH(SMALL($Q$22:$Q$51,4),$Q$22:$Q$51,0)),"")</f>
        <v/>
      </c>
      <c r="O11" s="27">
        <f>IFERROR(INDEX($O$22:$O$51,MATCH(SMALL($Q$22:$Q$51,4),$Q$22:$Q$51,0)),"")</f>
        <v/>
      </c>
      <c r="P11" s="28">
        <f>IFERROR(INDEX($P$22:$P$51,MATCH(SMALL($Q$22:$Q$51,4),$Q$22:$Q$51,0)),"")</f>
        <v/>
      </c>
    </row>
    <row r="12" ht="30" customHeight="1">
      <c r="E12" s="24">
        <f>INDEX($R$13:$R$19,5)</f>
        <v/>
      </c>
      <c r="H12" s="25">
        <f>COUNTIF($H$22:$H$51,E12)</f>
        <v/>
      </c>
      <c r="J12" s="24">
        <f>IFERROR(INDEX($A$22:$A$51,MATCH(SMALL($Q$22:$Q$51,5),$Q$22:$Q$51,0)),"")</f>
        <v/>
      </c>
      <c r="L12" s="26">
        <f>IFERROR(INDEX($B$22:$B$51,MATCH(SMALL($Q$22:$Q$51,5),$Q$22:$Q$51,0)),"")</f>
        <v/>
      </c>
      <c r="O12" s="27">
        <f>IFERROR(INDEX($O$22:$O$51,MATCH(SMALL($Q$22:$Q$51,5),$Q$22:$Q$51,0)),"")</f>
        <v/>
      </c>
      <c r="P12" s="28">
        <f>IFERROR(INDEX($P$22:$P$51,MATCH(SMALL($Q$22:$Q$51,5),$Q$22:$Q$51,0)),"")</f>
        <v/>
      </c>
      <c r="R12" s="9" t="inlineStr">
        <is>
          <t>Status</t>
        </is>
      </c>
    </row>
    <row r="13">
      <c r="E13" s="24">
        <f>INDEX($R$13:$R$19,6)</f>
        <v/>
      </c>
      <c r="H13" s="25">
        <f>COUNTIF($H$22:$H$51,E13)</f>
        <v/>
      </c>
      <c r="R13" s="18" t="inlineStr">
        <is>
          <t>Not submitted</t>
        </is>
      </c>
    </row>
    <row r="14">
      <c r="E14" s="24">
        <f>INDEX($R$13:$R$19,7)</f>
        <v/>
      </c>
      <c r="H14" s="25">
        <f>COUNTIF($H$22:$H$51,E14)</f>
        <v/>
      </c>
      <c r="R14" s="18" t="inlineStr">
        <is>
          <t>Submitted</t>
        </is>
      </c>
    </row>
    <row r="15">
      <c r="R15" s="18" t="inlineStr">
        <is>
          <t>Under review</t>
        </is>
      </c>
    </row>
    <row r="16">
      <c r="R16" s="18" t="inlineStr">
        <is>
          <t>Approved</t>
        </is>
      </c>
    </row>
    <row r="17">
      <c r="R17" s="18" t="inlineStr">
        <is>
          <t>Approved as noted</t>
        </is>
      </c>
    </row>
    <row r="18">
      <c r="R18" s="18" t="inlineStr">
        <is>
          <t>Revise &amp; resubmit</t>
        </is>
      </c>
    </row>
    <row r="19">
      <c r="R19" s="18" t="inlineStr">
        <is>
          <t>Rejected</t>
        </is>
      </c>
    </row>
    <row r="20" ht="22" customHeight="1">
      <c r="A20" s="10" t="inlineStr">
        <is>
          <t>Log</t>
        </is>
      </c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11" t="n"/>
      <c r="O20" s="11" t="n"/>
      <c r="P20" s="11" t="n"/>
    </row>
    <row r="21" ht="44" customHeight="1">
      <c r="A21" s="9" t="inlineStr">
        <is>
          <t>No.</t>
        </is>
      </c>
      <c r="B21" s="9" t="inlineStr">
        <is>
          <t>Description</t>
        </is>
      </c>
      <c r="C21" s="9" t="inlineStr">
        <is>
          <t>Type</t>
        </is>
      </c>
      <c r="D21" s="9" t="inlineStr">
        <is>
          <t>Reviewer</t>
        </is>
      </c>
      <c r="E21" s="9" t="inlineStr">
        <is>
          <t>Submitted</t>
        </is>
      </c>
      <c r="F21" s="9" t="inlineStr">
        <is>
          <t>Review days</t>
        </is>
      </c>
      <c r="G21" s="9" t="inlineStr">
        <is>
          <t>Due back</t>
        </is>
      </c>
      <c r="H21" s="9" t="inlineStr">
        <is>
          <t>Status</t>
        </is>
      </c>
      <c r="I21" s="9" t="inlineStr">
        <is>
          <t>Returned</t>
        </is>
      </c>
      <c r="J21" s="9" t="inlineStr">
        <is>
          <t>Rev.</t>
        </is>
      </c>
      <c r="K21" s="9" t="inlineStr">
        <is>
          <t>Days used</t>
        </is>
      </c>
      <c r="L21" s="9" t="inlineStr">
        <is>
          <t>Timing</t>
        </is>
      </c>
      <c r="M21" s="9" t="inlineStr">
        <is>
          <t>Needed on site</t>
        </is>
      </c>
      <c r="N21" s="9" t="inlineStr">
        <is>
          <t>Lead days</t>
        </is>
      </c>
      <c r="O21" s="9" t="inlineStr">
        <is>
          <t>Float</t>
        </is>
      </c>
      <c r="P21" s="9" t="inlineStr">
        <is>
          <t>Flag</t>
        </is>
      </c>
      <c r="R21" s="9" t="inlineStr">
        <is>
          <t>Reviewer</t>
        </is>
      </c>
    </row>
    <row r="22">
      <c r="A22" s="18" t="inlineStr">
        <is>
          <t>S-001</t>
        </is>
      </c>
      <c r="B22" s="29" t="n">
        <v>0</v>
      </c>
      <c r="C22" s="18" t="inlineStr">
        <is>
          <t>Shop drawing</t>
        </is>
      </c>
      <c r="D22" s="18" t="inlineStr">
        <is>
          <t>Structural</t>
        </is>
      </c>
      <c r="E22" s="20" t="n">
        <v>46258</v>
      </c>
      <c r="F22" s="21" t="n">
        <v>14</v>
      </c>
      <c r="G22" s="30">
        <f>IF(AND(ISNUMBER(E22),N(F22)&gt;0),E22+F22,"")</f>
        <v/>
      </c>
      <c r="H22" s="18" t="inlineStr">
        <is>
          <t>Approved</t>
        </is>
      </c>
      <c r="I22" s="20" t="n">
        <v>46270</v>
      </c>
      <c r="J22" s="21" t="n">
        <v>0</v>
      </c>
      <c r="K22" s="25">
        <f>IF(NOT(ISNUMBER(E22)),"",IF(ISNUMBER(I22),I22-E22,$C$6-E22))</f>
        <v/>
      </c>
      <c r="L22" s="28">
        <f>IF(NOT(ISNUMBER(E22)),"",IF(ISNUMBER(I22),IF(I22&lt;=G22,"On time","Late"),IF($C$6&gt;G22,"Overdue","In review")))</f>
        <v/>
      </c>
      <c r="M22" s="20" t="n">
        <v>46278</v>
      </c>
      <c r="N22" s="21" t="n">
        <v>7</v>
      </c>
      <c r="O22" s="25">
        <f>IF(AND(ISNUMBER(M22),H22&lt;&gt;""),M22-N(N22)-IF(OR(H22=INDEX($R$13:$R$19,4),H22=INDEX($R$13:$R$19,5)),I22,IF(NOT(ISNUMBER(E22)),$C$6+N(F22),MAX(G22,$C$6))),"")</f>
        <v/>
      </c>
      <c r="P22" s="28">
        <f>IF(O22="","",IF(OR(H22=INDEX($R$13:$R$19,4),H22=INDEX($R$13:$R$19,5)),"✓",IF(O22&lt;0,"At risk",IF(O22&lt;=$C$7,"Watch","OK"))))</f>
        <v/>
      </c>
      <c r="Q22" s="31">
        <f>IF(AND(ISNUMBER(O22),NOT(OR(H22=INDEX($R$13:$R$19,4),H22=INDEX($R$13:$R$19,5)))),O22+ROW()/100000,"")</f>
        <v/>
      </c>
      <c r="R22" s="18" t="inlineStr">
        <is>
          <t>Architect</t>
        </is>
      </c>
    </row>
    <row r="23">
      <c r="A23" s="18" t="inlineStr">
        <is>
          <t>S-002</t>
        </is>
      </c>
      <c r="B23" s="29" t="n">
        <v>2</v>
      </c>
      <c r="C23" s="18" t="inlineStr">
        <is>
          <t>Data sheet</t>
        </is>
      </c>
      <c r="D23" s="18" t="inlineStr">
        <is>
          <t>Structural</t>
        </is>
      </c>
      <c r="E23" s="20" t="n">
        <v>46268</v>
      </c>
      <c r="F23" s="21" t="n">
        <v>14</v>
      </c>
      <c r="G23" s="30">
        <f>IF(AND(ISNUMBER(E23),N(F23)&gt;0),E23+F23,"")</f>
        <v/>
      </c>
      <c r="H23" s="18" t="inlineStr">
        <is>
          <t>Approved as noted</t>
        </is>
      </c>
      <c r="I23" s="20" t="n">
        <v>46280</v>
      </c>
      <c r="J23" s="21" t="n">
        <v>1</v>
      </c>
      <c r="K23" s="25">
        <f>IF(NOT(ISNUMBER(E23)),"",IF(ISNUMBER(I23),I23-E23,$C$6-E23))</f>
        <v/>
      </c>
      <c r="L23" s="28">
        <f>IF(NOT(ISNUMBER(E23)),"",IF(ISNUMBER(I23),IF(I23&lt;=G23,"On time","Late"),IF($C$6&gt;G23,"Overdue","In review")))</f>
        <v/>
      </c>
      <c r="M23" s="20" t="n">
        <v>46288</v>
      </c>
      <c r="N23" s="21" t="n">
        <v>3</v>
      </c>
      <c r="O23" s="25">
        <f>IF(AND(ISNUMBER(M23),H23&lt;&gt;""),M23-N(N23)-IF(OR(H23=INDEX($R$13:$R$19,4),H23=INDEX($R$13:$R$19,5)),I23,IF(NOT(ISNUMBER(E23)),$C$6+N(F23),MAX(G23,$C$6))),"")</f>
        <v/>
      </c>
      <c r="P23" s="28">
        <f>IF(O23="","",IF(OR(H23=INDEX($R$13:$R$19,4),H23=INDEX($R$13:$R$19,5)),"✓",IF(O23&lt;0,"At risk",IF(O23&lt;=$C$7,"Watch","OK"))))</f>
        <v/>
      </c>
      <c r="Q23" s="31">
        <f>IF(AND(ISNUMBER(O23),NOT(OR(H23=INDEX($R$13:$R$19,4),H23=INDEX($R$13:$R$19,5)))),O23+ROW()/100000,"")</f>
        <v/>
      </c>
      <c r="R23" s="18" t="inlineStr">
        <is>
          <t>Structural</t>
        </is>
      </c>
    </row>
    <row r="24">
      <c r="A24" s="18" t="inlineStr">
        <is>
          <t>S-003</t>
        </is>
      </c>
      <c r="B24" s="29" t="n">
        <v>1</v>
      </c>
      <c r="C24" s="18" t="inlineStr">
        <is>
          <t>Material sample</t>
        </is>
      </c>
      <c r="D24" s="18" t="inlineStr">
        <is>
          <t>Architect</t>
        </is>
      </c>
      <c r="E24" s="20" t="n">
        <v>46288</v>
      </c>
      <c r="F24" s="21" t="n">
        <v>14</v>
      </c>
      <c r="G24" s="30">
        <f>IF(AND(ISNUMBER(E24),N(F24)&gt;0),E24+F24,"")</f>
        <v/>
      </c>
      <c r="H24" s="18" t="inlineStr">
        <is>
          <t>Approved</t>
        </is>
      </c>
      <c r="I24" s="20" t="n">
        <v>46298</v>
      </c>
      <c r="J24" s="21" t="n">
        <v>0</v>
      </c>
      <c r="K24" s="25">
        <f>IF(NOT(ISNUMBER(E24)),"",IF(ISNUMBER(I24),I24-E24,$C$6-E24))</f>
        <v/>
      </c>
      <c r="L24" s="28">
        <f>IF(NOT(ISNUMBER(E24)),"",IF(ISNUMBER(I24),IF(I24&lt;=G24,"On time","Late"),IF($C$6&gt;G24,"Overdue","In review")))</f>
        <v/>
      </c>
      <c r="M24" s="20" t="n">
        <v>46338</v>
      </c>
      <c r="N24" s="21" t="n">
        <v>21</v>
      </c>
      <c r="O24" s="25">
        <f>IF(AND(ISNUMBER(M24),H24&lt;&gt;""),M24-N(N24)-IF(OR(H24=INDEX($R$13:$R$19,4),H24=INDEX($R$13:$R$19,5)),I24,IF(NOT(ISNUMBER(E24)),$C$6+N(F24),MAX(G24,$C$6))),"")</f>
        <v/>
      </c>
      <c r="P24" s="28">
        <f>IF(O24="","",IF(OR(H24=INDEX($R$13:$R$19,4),H24=INDEX($R$13:$R$19,5)),"✓",IF(O24&lt;0,"At risk",IF(O24&lt;=$C$7,"Watch","OK"))))</f>
        <v/>
      </c>
      <c r="Q24" s="31">
        <f>IF(AND(ISNUMBER(O24),NOT(OR(H24=INDEX($R$13:$R$19,4),H24=INDEX($R$13:$R$19,5)))),O24+ROW()/100000,"")</f>
        <v/>
      </c>
      <c r="R24" s="18" t="inlineStr">
        <is>
          <t>MEP</t>
        </is>
      </c>
    </row>
    <row r="25">
      <c r="A25" s="18" t="inlineStr">
        <is>
          <t>S-004</t>
        </is>
      </c>
      <c r="B25" s="29" t="n">
        <v>0</v>
      </c>
      <c r="C25" s="18" t="inlineStr">
        <is>
          <t>Shop drawing</t>
        </is>
      </c>
      <c r="D25" s="18" t="inlineStr">
        <is>
          <t>Architect</t>
        </is>
      </c>
      <c r="E25" s="20" t="n">
        <v>46293</v>
      </c>
      <c r="F25" s="21" t="n">
        <v>21</v>
      </c>
      <c r="G25" s="30">
        <f>IF(AND(ISNUMBER(E25),N(F25)&gt;0),E25+F25,"")</f>
        <v/>
      </c>
      <c r="H25" s="18" t="inlineStr">
        <is>
          <t>Revise &amp; resubmit</t>
        </is>
      </c>
      <c r="I25" s="20" t="n">
        <v>46315</v>
      </c>
      <c r="J25" s="21" t="n">
        <v>1</v>
      </c>
      <c r="K25" s="25">
        <f>IF(NOT(ISNUMBER(E25)),"",IF(ISNUMBER(I25),I25-E25,$C$6-E25))</f>
        <v/>
      </c>
      <c r="L25" s="28">
        <f>IF(NOT(ISNUMBER(E25)),"",IF(ISNUMBER(I25),IF(I25&lt;=G25,"On time","Late"),IF($C$6&gt;G25,"Overdue","In review")))</f>
        <v/>
      </c>
      <c r="M25" s="20" t="n">
        <v>46363</v>
      </c>
      <c r="N25" s="21" t="n">
        <v>60</v>
      </c>
      <c r="O25" s="25">
        <f>IF(AND(ISNUMBER(M25),H25&lt;&gt;""),M25-N(N25)-IF(OR(H25=INDEX($R$13:$R$19,4),H25=INDEX($R$13:$R$19,5)),I25,IF(NOT(ISNUMBER(E25)),$C$6+N(F25),MAX(G25,$C$6))),"")</f>
        <v/>
      </c>
      <c r="P25" s="28">
        <f>IF(O25="","",IF(OR(H25=INDEX($R$13:$R$19,4),H25=INDEX($R$13:$R$19,5)),"✓",IF(O25&lt;0,"At risk",IF(O25&lt;=$C$7,"Watch","OK"))))</f>
        <v/>
      </c>
      <c r="Q25" s="31">
        <f>IF(AND(ISNUMBER(O25),NOT(OR(H25=INDEX($R$13:$R$19,4),H25=INDEX($R$13:$R$19,5)))),O25+ROW()/100000,"")</f>
        <v/>
      </c>
      <c r="R25" s="18" t="inlineStr">
        <is>
          <t>Consultant</t>
        </is>
      </c>
    </row>
    <row r="26">
      <c r="A26" s="18" t="inlineStr">
        <is>
          <t>S-005</t>
        </is>
      </c>
      <c r="B26" s="29" t="n">
        <v>0</v>
      </c>
      <c r="C26" s="18" t="inlineStr">
        <is>
          <t>Shop drawing</t>
        </is>
      </c>
      <c r="D26" s="18" t="inlineStr">
        <is>
          <t>MEP</t>
        </is>
      </c>
      <c r="E26" s="20" t="n">
        <v>46298</v>
      </c>
      <c r="F26" s="21" t="n">
        <v>14</v>
      </c>
      <c r="G26" s="30">
        <f>IF(AND(ISNUMBER(E26),N(F26)&gt;0),E26+F26,"")</f>
        <v/>
      </c>
      <c r="H26" s="18" t="inlineStr">
        <is>
          <t>Under review</t>
        </is>
      </c>
      <c r="I26" s="20" t="n"/>
      <c r="J26" s="21" t="n">
        <v>0</v>
      </c>
      <c r="K26" s="25">
        <f>IF(NOT(ISNUMBER(E26)),"",IF(ISNUMBER(I26),I26-E26,$C$6-E26))</f>
        <v/>
      </c>
      <c r="L26" s="28">
        <f>IF(NOT(ISNUMBER(E26)),"",IF(ISNUMBER(I26),IF(I26&lt;=G26,"On time","Late"),IF($C$6&gt;G26,"Overdue","In review")))</f>
        <v/>
      </c>
      <c r="M26" s="20" t="n">
        <v>46378</v>
      </c>
      <c r="N26" s="21" t="n">
        <v>75</v>
      </c>
      <c r="O26" s="25">
        <f>IF(AND(ISNUMBER(M26),H26&lt;&gt;""),M26-N(N26)-IF(OR(H26=INDEX($R$13:$R$19,4),H26=INDEX($R$13:$R$19,5)),I26,IF(NOT(ISNUMBER(E26)),$C$6+N(F26),MAX(G26,$C$6))),"")</f>
        <v/>
      </c>
      <c r="P26" s="28">
        <f>IF(O26="","",IF(OR(H26=INDEX($R$13:$R$19,4),H26=INDEX($R$13:$R$19,5)),"✓",IF(O26&lt;0,"At risk",IF(O26&lt;=$C$7,"Watch","OK"))))</f>
        <v/>
      </c>
      <c r="Q26" s="31">
        <f>IF(AND(ISNUMBER(O26),NOT(OR(H26=INDEX($R$13:$R$19,4),H26=INDEX($R$13:$R$19,5)))),O26+ROW()/100000,"")</f>
        <v/>
      </c>
    </row>
    <row r="27">
      <c r="A27" s="18" t="inlineStr">
        <is>
          <t>S-006</t>
        </is>
      </c>
      <c r="B27" s="29" t="n">
        <v>2</v>
      </c>
      <c r="C27" s="18" t="inlineStr">
        <is>
          <t>Data sheet</t>
        </is>
      </c>
      <c r="D27" s="18" t="inlineStr">
        <is>
          <t>MEP</t>
        </is>
      </c>
      <c r="E27" s="20" t="n">
        <v>46300</v>
      </c>
      <c r="F27" s="21" t="n">
        <v>14</v>
      </c>
      <c r="G27" s="30">
        <f>IF(AND(ISNUMBER(E27),N(F27)&gt;0),E27+F27,"")</f>
        <v/>
      </c>
      <c r="H27" s="18" t="inlineStr">
        <is>
          <t>Under review</t>
        </is>
      </c>
      <c r="I27" s="20" t="n"/>
      <c r="J27" s="21" t="n">
        <v>0</v>
      </c>
      <c r="K27" s="25">
        <f>IF(NOT(ISNUMBER(E27)),"",IF(ISNUMBER(I27),I27-E27,$C$6-E27))</f>
        <v/>
      </c>
      <c r="L27" s="28">
        <f>IF(NOT(ISNUMBER(E27)),"",IF(ISNUMBER(I27),IF(I27&lt;=G27,"On time","Late"),IF($C$6&gt;G27,"Overdue","In review")))</f>
        <v/>
      </c>
      <c r="M27" s="20" t="n">
        <v>46408</v>
      </c>
      <c r="N27" s="21" t="n">
        <v>90</v>
      </c>
      <c r="O27" s="25">
        <f>IF(AND(ISNUMBER(M27),H27&lt;&gt;""),M27-N(N27)-IF(OR(H27=INDEX($R$13:$R$19,4),H27=INDEX($R$13:$R$19,5)),I27,IF(NOT(ISNUMBER(E27)),$C$6+N(F27),MAX(G27,$C$6))),"")</f>
        <v/>
      </c>
      <c r="P27" s="28">
        <f>IF(O27="","",IF(OR(H27=INDEX($R$13:$R$19,4),H27=INDEX($R$13:$R$19,5)),"✓",IF(O27&lt;0,"At risk",IF(O27&lt;=$C$7,"Watch","OK"))))</f>
        <v/>
      </c>
      <c r="Q27" s="31">
        <f>IF(AND(ISNUMBER(O27),NOT(OR(H27=INDEX($R$13:$R$19,4),H27=INDEX($R$13:$R$19,5)))),O27+ROW()/100000,"")</f>
        <v/>
      </c>
    </row>
    <row r="28">
      <c r="A28" s="18" t="inlineStr">
        <is>
          <t>S-007</t>
        </is>
      </c>
      <c r="B28" s="29" t="n">
        <v>1</v>
      </c>
      <c r="C28" s="18" t="inlineStr">
        <is>
          <t>Material sample</t>
        </is>
      </c>
      <c r="D28" s="18" t="inlineStr">
        <is>
          <t>Architect</t>
        </is>
      </c>
      <c r="E28" s="20" t="n">
        <v>46308</v>
      </c>
      <c r="F28" s="21" t="n">
        <v>7</v>
      </c>
      <c r="G28" s="30">
        <f>IF(AND(ISNUMBER(E28),N(F28)&gt;0),E28+F28,"")</f>
        <v/>
      </c>
      <c r="H28" s="18" t="inlineStr">
        <is>
          <t>Submitted</t>
        </is>
      </c>
      <c r="I28" s="20" t="n"/>
      <c r="J28" s="21" t="n">
        <v>0</v>
      </c>
      <c r="K28" s="25">
        <f>IF(NOT(ISNUMBER(E28)),"",IF(ISNUMBER(I28),I28-E28,$C$6-E28))</f>
        <v/>
      </c>
      <c r="L28" s="28">
        <f>IF(NOT(ISNUMBER(E28)),"",IF(ISNUMBER(I28),IF(I28&lt;=G28,"On time","Late"),IF($C$6&gt;G28,"Overdue","In review")))</f>
        <v/>
      </c>
      <c r="M28" s="20" t="n">
        <v>46358</v>
      </c>
      <c r="N28" s="21" t="n">
        <v>14</v>
      </c>
      <c r="O28" s="25">
        <f>IF(AND(ISNUMBER(M28),H28&lt;&gt;""),M28-N(N28)-IF(OR(H28=INDEX($R$13:$R$19,4),H28=INDEX($R$13:$R$19,5)),I28,IF(NOT(ISNUMBER(E28)),$C$6+N(F28),MAX(G28,$C$6))),"")</f>
        <v/>
      </c>
      <c r="P28" s="28">
        <f>IF(O28="","",IF(OR(H28=INDEX($R$13:$R$19,4),H28=INDEX($R$13:$R$19,5)),"✓",IF(O28&lt;0,"At risk",IF(O28&lt;=$C$7,"Watch","OK"))))</f>
        <v/>
      </c>
      <c r="Q28" s="31">
        <f>IF(AND(ISNUMBER(O28),NOT(OR(H28=INDEX($R$13:$R$19,4),H28=INDEX($R$13:$R$19,5)))),O28+ROW()/100000,"")</f>
        <v/>
      </c>
    </row>
    <row r="29">
      <c r="A29" s="18" t="inlineStr">
        <is>
          <t>S-008</t>
        </is>
      </c>
      <c r="B29" s="29" t="n">
        <v>3</v>
      </c>
      <c r="C29" s="18" t="inlineStr">
        <is>
          <t>Method statement</t>
        </is>
      </c>
      <c r="D29" s="18" t="inlineStr">
        <is>
          <t>MEP</t>
        </is>
      </c>
      <c r="E29" s="20" t="n">
        <v>46313</v>
      </c>
      <c r="F29" s="21" t="n">
        <v>7</v>
      </c>
      <c r="G29" s="30">
        <f>IF(AND(ISNUMBER(E29),N(F29)&gt;0),E29+F29,"")</f>
        <v/>
      </c>
      <c r="H29" s="18" t="inlineStr">
        <is>
          <t>Submitted</t>
        </is>
      </c>
      <c r="I29" s="20" t="n"/>
      <c r="J29" s="21" t="n">
        <v>0</v>
      </c>
      <c r="K29" s="25">
        <f>IF(NOT(ISNUMBER(E29)),"",IF(ISNUMBER(I29),I29-E29,$C$6-E29))</f>
        <v/>
      </c>
      <c r="L29" s="28">
        <f>IF(NOT(ISNUMBER(E29)),"",IF(ISNUMBER(I29),IF(I29&lt;=G29,"On time","Late"),IF($C$6&gt;G29,"Overdue","In review")))</f>
        <v/>
      </c>
      <c r="M29" s="20" t="n">
        <v>46368</v>
      </c>
      <c r="N29" s="21" t="n">
        <v>10</v>
      </c>
      <c r="O29" s="25">
        <f>IF(AND(ISNUMBER(M29),H29&lt;&gt;""),M29-N(N29)-IF(OR(H29=INDEX($R$13:$R$19,4),H29=INDEX($R$13:$R$19,5)),I29,IF(NOT(ISNUMBER(E29)),$C$6+N(F29),MAX(G29,$C$6))),"")</f>
        <v/>
      </c>
      <c r="P29" s="28">
        <f>IF(O29="","",IF(OR(H29=INDEX($R$13:$R$19,4),H29=INDEX($R$13:$R$19,5)),"✓",IF(O29&lt;0,"At risk",IF(O29&lt;=$C$7,"Watch","OK"))))</f>
        <v/>
      </c>
      <c r="Q29" s="31">
        <f>IF(AND(ISNUMBER(O29),NOT(OR(H29=INDEX($R$13:$R$19,4),H29=INDEX($R$13:$R$19,5)))),O29+ROW()/100000,"")</f>
        <v/>
      </c>
    </row>
    <row r="30">
      <c r="A30" s="18" t="inlineStr">
        <is>
          <t>S-009</t>
        </is>
      </c>
      <c r="B30" s="29" t="n">
        <v>0</v>
      </c>
      <c r="C30" s="18" t="inlineStr">
        <is>
          <t>Shop drawing</t>
        </is>
      </c>
      <c r="D30" s="18" t="inlineStr">
        <is>
          <t>MEP</t>
        </is>
      </c>
      <c r="E30" s="20" t="n">
        <v>46283</v>
      </c>
      <c r="F30" s="21" t="n">
        <v>14</v>
      </c>
      <c r="G30" s="30">
        <f>IF(AND(ISNUMBER(E30),N(F30)&gt;0),E30+F30,"")</f>
        <v/>
      </c>
      <c r="H30" s="18" t="inlineStr">
        <is>
          <t>Rejected</t>
        </is>
      </c>
      <c r="I30" s="20" t="n">
        <v>46300</v>
      </c>
      <c r="J30" s="21" t="n">
        <v>0</v>
      </c>
      <c r="K30" s="25">
        <f>IF(NOT(ISNUMBER(E30)),"",IF(ISNUMBER(I30),I30-E30,$C$6-E30))</f>
        <v/>
      </c>
      <c r="L30" s="28">
        <f>IF(NOT(ISNUMBER(E30)),"",IF(ISNUMBER(I30),IF(I30&lt;=G30,"On time","Late"),IF($C$6&gt;G30,"Overdue","In review")))</f>
        <v/>
      </c>
      <c r="M30" s="20" t="n">
        <v>46418</v>
      </c>
      <c r="N30" s="21" t="n">
        <v>90</v>
      </c>
      <c r="O30" s="25">
        <f>IF(AND(ISNUMBER(M30),H30&lt;&gt;""),M30-N(N30)-IF(OR(H30=INDEX($R$13:$R$19,4),H30=INDEX($R$13:$R$19,5)),I30,IF(NOT(ISNUMBER(E30)),$C$6+N(F30),MAX(G30,$C$6))),"")</f>
        <v/>
      </c>
      <c r="P30" s="28">
        <f>IF(O30="","",IF(OR(H30=INDEX($R$13:$R$19,4),H30=INDEX($R$13:$R$19,5)),"✓",IF(O30&lt;0,"At risk",IF(O30&lt;=$C$7,"Watch","OK"))))</f>
        <v/>
      </c>
      <c r="Q30" s="31">
        <f>IF(AND(ISNUMBER(O30),NOT(OR(H30=INDEX($R$13:$R$19,4),H30=INDEX($R$13:$R$19,5)))),O30+ROW()/100000,"")</f>
        <v/>
      </c>
    </row>
    <row r="31">
      <c r="A31" s="18" t="inlineStr">
        <is>
          <t>S-010</t>
        </is>
      </c>
      <c r="B31" s="29" t="n">
        <v>2</v>
      </c>
      <c r="C31" s="18" t="inlineStr">
        <is>
          <t>Data sheet</t>
        </is>
      </c>
      <c r="D31" s="18" t="inlineStr">
        <is>
          <t>Architect</t>
        </is>
      </c>
      <c r="E31" s="20" t="n"/>
      <c r="F31" s="21" t="n">
        <v>14</v>
      </c>
      <c r="G31" s="30">
        <f>IF(AND(ISNUMBER(E31),N(F31)&gt;0),E31+F31,"")</f>
        <v/>
      </c>
      <c r="H31" s="18" t="inlineStr">
        <is>
          <t>Not submitted</t>
        </is>
      </c>
      <c r="I31" s="20" t="n"/>
      <c r="J31" s="21" t="n">
        <v>0</v>
      </c>
      <c r="K31" s="25">
        <f>IF(NOT(ISNUMBER(E31)),"",IF(ISNUMBER(I31),I31-E31,$C$6-E31))</f>
        <v/>
      </c>
      <c r="L31" s="28">
        <f>IF(NOT(ISNUMBER(E31)),"",IF(ISNUMBER(I31),IF(I31&lt;=G31,"On time","Late"),IF($C$6&gt;G31,"Overdue","In review")))</f>
        <v/>
      </c>
      <c r="M31" s="20" t="n">
        <v>46388</v>
      </c>
      <c r="N31" s="21" t="n">
        <v>14</v>
      </c>
      <c r="O31" s="25">
        <f>IF(AND(ISNUMBER(M31),H31&lt;&gt;""),M31-N(N31)-IF(OR(H31=INDEX($R$13:$R$19,4),H31=INDEX($R$13:$R$19,5)),I31,IF(NOT(ISNUMBER(E31)),$C$6+N(F31),MAX(G31,$C$6))),"")</f>
        <v/>
      </c>
      <c r="P31" s="28">
        <f>IF(O31="","",IF(OR(H31=INDEX($R$13:$R$19,4),H31=INDEX($R$13:$R$19,5)),"✓",IF(O31&lt;0,"At risk",IF(O31&lt;=$C$7,"Watch","OK"))))</f>
        <v/>
      </c>
      <c r="Q31" s="31">
        <f>IF(AND(ISNUMBER(O31),NOT(OR(H31=INDEX($R$13:$R$19,4),H31=INDEX($R$13:$R$19,5)))),O31+ROW()/100000,"")</f>
        <v/>
      </c>
    </row>
    <row r="32">
      <c r="A32" s="18" t="inlineStr">
        <is>
          <t>S-011</t>
        </is>
      </c>
      <c r="B32" s="29" t="n">
        <v>4</v>
      </c>
      <c r="C32" s="18" t="inlineStr">
        <is>
          <t>Test report</t>
        </is>
      </c>
      <c r="D32" s="18" t="inlineStr">
        <is>
          <t>Structural</t>
        </is>
      </c>
      <c r="E32" s="20" t="n">
        <v>46303</v>
      </c>
      <c r="F32" s="21" t="n">
        <v>7</v>
      </c>
      <c r="G32" s="30">
        <f>IF(AND(ISNUMBER(E32),N(F32)&gt;0),E32+F32,"")</f>
        <v/>
      </c>
      <c r="H32" s="18" t="inlineStr">
        <is>
          <t>Approved</t>
        </is>
      </c>
      <c r="I32" s="20" t="n">
        <v>46308</v>
      </c>
      <c r="J32" s="21" t="n">
        <v>0</v>
      </c>
      <c r="K32" s="25">
        <f>IF(NOT(ISNUMBER(E32)),"",IF(ISNUMBER(I32),I32-E32,$C$6-E32))</f>
        <v/>
      </c>
      <c r="L32" s="28">
        <f>IF(NOT(ISNUMBER(E32)),"",IF(ISNUMBER(I32),IF(I32&lt;=G32,"On time","Late"),IF($C$6&gt;G32,"Overdue","In review")))</f>
        <v/>
      </c>
      <c r="M32" s="20" t="n">
        <v>46313</v>
      </c>
      <c r="N32" s="21" t="n">
        <v>0</v>
      </c>
      <c r="O32" s="25">
        <f>IF(AND(ISNUMBER(M32),H32&lt;&gt;""),M32-N(N32)-IF(OR(H32=INDEX($R$13:$R$19,4),H32=INDEX($R$13:$R$19,5)),I32,IF(NOT(ISNUMBER(E32)),$C$6+N(F32),MAX(G32,$C$6))),"")</f>
        <v/>
      </c>
      <c r="P32" s="28">
        <f>IF(O32="","",IF(OR(H32=INDEX($R$13:$R$19,4),H32=INDEX($R$13:$R$19,5)),"✓",IF(O32&lt;0,"At risk",IF(O32&lt;=$C$7,"Watch","OK"))))</f>
        <v/>
      </c>
      <c r="Q32" s="31">
        <f>IF(AND(ISNUMBER(O32),NOT(OR(H32=INDEX($R$13:$R$19,4),H32=INDEX($R$13:$R$19,5)))),O32+ROW()/100000,"")</f>
        <v/>
      </c>
    </row>
    <row r="33">
      <c r="A33" s="18" t="inlineStr">
        <is>
          <t>S-012</t>
        </is>
      </c>
      <c r="B33" s="29" t="n">
        <v>5</v>
      </c>
      <c r="C33" s="18" t="inlineStr">
        <is>
          <t>Mock-up</t>
        </is>
      </c>
      <c r="D33" s="18" t="inlineStr">
        <is>
          <t>Architect</t>
        </is>
      </c>
      <c r="E33" s="20" t="n">
        <v>46306</v>
      </c>
      <c r="F33" s="21" t="n">
        <v>14</v>
      </c>
      <c r="G33" s="30">
        <f>IF(AND(ISNUMBER(E33),N(F33)&gt;0),E33+F33,"")</f>
        <v/>
      </c>
      <c r="H33" s="18" t="inlineStr">
        <is>
          <t>Under review</t>
        </is>
      </c>
      <c r="I33" s="20" t="n"/>
      <c r="J33" s="21" t="n">
        <v>0</v>
      </c>
      <c r="K33" s="25">
        <f>IF(NOT(ISNUMBER(E33)),"",IF(ISNUMBER(I33),I33-E33,$C$6-E33))</f>
        <v/>
      </c>
      <c r="L33" s="28">
        <f>IF(NOT(ISNUMBER(E33)),"",IF(ISNUMBER(I33),IF(I33&lt;=G33,"On time","Late"),IF($C$6&gt;G33,"Overdue","In review")))</f>
        <v/>
      </c>
      <c r="M33" s="20" t="n">
        <v>46348</v>
      </c>
      <c r="N33" s="21" t="n">
        <v>35</v>
      </c>
      <c r="O33" s="25">
        <f>IF(AND(ISNUMBER(M33),H33&lt;&gt;""),M33-N(N33)-IF(OR(H33=INDEX($R$13:$R$19,4),H33=INDEX($R$13:$R$19,5)),I33,IF(NOT(ISNUMBER(E33)),$C$6+N(F33),MAX(G33,$C$6))),"")</f>
        <v/>
      </c>
      <c r="P33" s="28">
        <f>IF(O33="","",IF(OR(H33=INDEX($R$13:$R$19,4),H33=INDEX($R$13:$R$19,5)),"✓",IF(O33&lt;0,"At risk",IF(O33&lt;=$C$7,"Watch","OK"))))</f>
        <v/>
      </c>
      <c r="Q33" s="31">
        <f>IF(AND(ISNUMBER(O33),NOT(OR(H33=INDEX($R$13:$R$19,4),H33=INDEX($R$13:$R$19,5)))),O33+ROW()/100000,"")</f>
        <v/>
      </c>
    </row>
    <row r="34">
      <c r="A34" s="18" t="inlineStr">
        <is>
          <t>S-013</t>
        </is>
      </c>
      <c r="B34" s="29" t="n">
        <v>1</v>
      </c>
      <c r="C34" s="18" t="inlineStr">
        <is>
          <t>Material sample</t>
        </is>
      </c>
      <c r="D34" s="18" t="inlineStr">
        <is>
          <t>Architect</t>
        </is>
      </c>
      <c r="E34" s="20" t="n"/>
      <c r="F34" s="21" t="n">
        <v>14</v>
      </c>
      <c r="G34" s="30">
        <f>IF(AND(ISNUMBER(E34),N(F34)&gt;0),E34+F34,"")</f>
        <v/>
      </c>
      <c r="H34" s="18" t="inlineStr">
        <is>
          <t>Not submitted</t>
        </is>
      </c>
      <c r="I34" s="20" t="n"/>
      <c r="J34" s="21" t="n">
        <v>0</v>
      </c>
      <c r="K34" s="25">
        <f>IF(NOT(ISNUMBER(E34)),"",IF(ISNUMBER(I34),I34-E34,$C$6-E34))</f>
        <v/>
      </c>
      <c r="L34" s="28">
        <f>IF(NOT(ISNUMBER(E34)),"",IF(ISNUMBER(I34),IF(I34&lt;=G34,"On time","Late"),IF($C$6&gt;G34,"Overdue","In review")))</f>
        <v/>
      </c>
      <c r="M34" s="20" t="n">
        <v>46373</v>
      </c>
      <c r="N34" s="21" t="n">
        <v>30</v>
      </c>
      <c r="O34" s="25">
        <f>IF(AND(ISNUMBER(M34),H34&lt;&gt;""),M34-N(N34)-IF(OR(H34=INDEX($R$13:$R$19,4),H34=INDEX($R$13:$R$19,5)),I34,IF(NOT(ISNUMBER(E34)),$C$6+N(F34),MAX(G34,$C$6))),"")</f>
        <v/>
      </c>
      <c r="P34" s="28">
        <f>IF(O34="","",IF(OR(H34=INDEX($R$13:$R$19,4),H34=INDEX($R$13:$R$19,5)),"✓",IF(O34&lt;0,"At risk",IF(O34&lt;=$C$7,"Watch","OK"))))</f>
        <v/>
      </c>
      <c r="Q34" s="31">
        <f>IF(AND(ISNUMBER(O34),NOT(OR(H34=INDEX($R$13:$R$19,4),H34=INDEX($R$13:$R$19,5)))),O34+ROW()/100000,"")</f>
        <v/>
      </c>
    </row>
    <row r="35">
      <c r="A35" s="18" t="inlineStr">
        <is>
          <t>S-014</t>
        </is>
      </c>
      <c r="B35" s="29" t="n">
        <v>0</v>
      </c>
      <c r="C35" s="18" t="inlineStr">
        <is>
          <t>Shop drawing</t>
        </is>
      </c>
      <c r="D35" s="18" t="inlineStr">
        <is>
          <t>MEP</t>
        </is>
      </c>
      <c r="E35" s="20" t="n">
        <v>46310</v>
      </c>
      <c r="F35" s="21" t="n">
        <v>14</v>
      </c>
      <c r="G35" s="30">
        <f>IF(AND(ISNUMBER(E35),N(F35)&gt;0),E35+F35,"")</f>
        <v/>
      </c>
      <c r="H35" s="18" t="inlineStr">
        <is>
          <t>Under review</t>
        </is>
      </c>
      <c r="I35" s="20" t="n"/>
      <c r="J35" s="21" t="n">
        <v>0</v>
      </c>
      <c r="K35" s="25">
        <f>IF(NOT(ISNUMBER(E35)),"",IF(ISNUMBER(I35),I35-E35,$C$6-E35))</f>
        <v/>
      </c>
      <c r="L35" s="28">
        <f>IF(NOT(ISNUMBER(E35)),"",IF(ISNUMBER(I35),IF(I35&lt;=G35,"On time","Late"),IF($C$6&gt;G35,"Overdue","In review")))</f>
        <v/>
      </c>
      <c r="M35" s="20" t="n">
        <v>46383</v>
      </c>
      <c r="N35" s="21" t="n">
        <v>45</v>
      </c>
      <c r="O35" s="25">
        <f>IF(AND(ISNUMBER(M35),H35&lt;&gt;""),M35-N(N35)-IF(OR(H35=INDEX($R$13:$R$19,4),H35=INDEX($R$13:$R$19,5)),I35,IF(NOT(ISNUMBER(E35)),$C$6+N(F35),MAX(G35,$C$6))),"")</f>
        <v/>
      </c>
      <c r="P35" s="28">
        <f>IF(O35="","",IF(OR(H35=INDEX($R$13:$R$19,4),H35=INDEX($R$13:$R$19,5)),"✓",IF(O35&lt;0,"At risk",IF(O35&lt;=$C$7,"Watch","OK"))))</f>
        <v/>
      </c>
      <c r="Q35" s="31">
        <f>IF(AND(ISNUMBER(O35),NOT(OR(H35=INDEX($R$13:$R$19,4),H35=INDEX($R$13:$R$19,5)))),O35+ROW()/100000,"")</f>
        <v/>
      </c>
    </row>
    <row r="36">
      <c r="A36" s="18" t="n"/>
      <c r="B36" s="29" t="n"/>
      <c r="C36" s="18" t="n"/>
      <c r="D36" s="18" t="n"/>
      <c r="E36" s="20" t="n"/>
      <c r="F36" s="21" t="n"/>
      <c r="G36" s="30">
        <f>IF(AND(ISNUMBER(E36),N(F36)&gt;0),E36+F36,"")</f>
        <v/>
      </c>
      <c r="H36" s="18" t="n"/>
      <c r="I36" s="20" t="n"/>
      <c r="J36" s="21" t="n"/>
      <c r="K36" s="25">
        <f>IF(NOT(ISNUMBER(E36)),"",IF(ISNUMBER(I36),I36-E36,$C$6-E36))</f>
        <v/>
      </c>
      <c r="L36" s="28">
        <f>IF(NOT(ISNUMBER(E36)),"",IF(ISNUMBER(I36),IF(I36&lt;=G36,"On time","Late"),IF($C$6&gt;G36,"Overdue","In review")))</f>
        <v/>
      </c>
      <c r="M36" s="20" t="n"/>
      <c r="N36" s="21" t="n"/>
      <c r="O36" s="25">
        <f>IF(AND(ISNUMBER(M36),H36&lt;&gt;""),M36-N(N36)-IF(OR(H36=INDEX($R$13:$R$19,4),H36=INDEX($R$13:$R$19,5)),I36,IF(NOT(ISNUMBER(E36)),$C$6+N(F36),MAX(G36,$C$6))),"")</f>
        <v/>
      </c>
      <c r="P36" s="28">
        <f>IF(O36="","",IF(OR(H36=INDEX($R$13:$R$19,4),H36=INDEX($R$13:$R$19,5)),"✓",IF(O36&lt;0,"At risk",IF(O36&lt;=$C$7,"Watch","OK"))))</f>
        <v/>
      </c>
      <c r="Q36" s="31">
        <f>IF(AND(ISNUMBER(O36),NOT(OR(H36=INDEX($R$13:$R$19,4),H36=INDEX($R$13:$R$19,5)))),O36+ROW()/100000,"")</f>
        <v/>
      </c>
    </row>
    <row r="37">
      <c r="A37" s="18" t="n"/>
      <c r="B37" s="29" t="n"/>
      <c r="C37" s="18" t="n"/>
      <c r="D37" s="18" t="n"/>
      <c r="E37" s="20" t="n"/>
      <c r="F37" s="21" t="n"/>
      <c r="G37" s="30">
        <f>IF(AND(ISNUMBER(E37),N(F37)&gt;0),E37+F37,"")</f>
        <v/>
      </c>
      <c r="H37" s="18" t="n"/>
      <c r="I37" s="20" t="n"/>
      <c r="J37" s="21" t="n"/>
      <c r="K37" s="25">
        <f>IF(NOT(ISNUMBER(E37)),"",IF(ISNUMBER(I37),I37-E37,$C$6-E37))</f>
        <v/>
      </c>
      <c r="L37" s="28">
        <f>IF(NOT(ISNUMBER(E37)),"",IF(ISNUMBER(I37),IF(I37&lt;=G37,"On time","Late"),IF($C$6&gt;G37,"Overdue","In review")))</f>
        <v/>
      </c>
      <c r="M37" s="20" t="n"/>
      <c r="N37" s="21" t="n"/>
      <c r="O37" s="25">
        <f>IF(AND(ISNUMBER(M37),H37&lt;&gt;""),M37-N(N37)-IF(OR(H37=INDEX($R$13:$R$19,4),H37=INDEX($R$13:$R$19,5)),I37,IF(NOT(ISNUMBER(E37)),$C$6+N(F37),MAX(G37,$C$6))),"")</f>
        <v/>
      </c>
      <c r="P37" s="28">
        <f>IF(O37="","",IF(OR(H37=INDEX($R$13:$R$19,4),H37=INDEX($R$13:$R$19,5)),"✓",IF(O37&lt;0,"At risk",IF(O37&lt;=$C$7,"Watch","OK"))))</f>
        <v/>
      </c>
      <c r="Q37" s="31">
        <f>IF(AND(ISNUMBER(O37),NOT(OR(H37=INDEX($R$13:$R$19,4),H37=INDEX($R$13:$R$19,5)))),O37+ROW()/100000,"")</f>
        <v/>
      </c>
    </row>
    <row r="38">
      <c r="A38" s="18" t="n"/>
      <c r="B38" s="29" t="n"/>
      <c r="C38" s="18" t="n"/>
      <c r="D38" s="18" t="n"/>
      <c r="E38" s="20" t="n"/>
      <c r="F38" s="21" t="n"/>
      <c r="G38" s="30">
        <f>IF(AND(ISNUMBER(E38),N(F38)&gt;0),E38+F38,"")</f>
        <v/>
      </c>
      <c r="H38" s="18" t="n"/>
      <c r="I38" s="20" t="n"/>
      <c r="J38" s="21" t="n"/>
      <c r="K38" s="25">
        <f>IF(NOT(ISNUMBER(E38)),"",IF(ISNUMBER(I38),I38-E38,$C$6-E38))</f>
        <v/>
      </c>
      <c r="L38" s="28">
        <f>IF(NOT(ISNUMBER(E38)),"",IF(ISNUMBER(I38),IF(I38&lt;=G38,"On time","Late"),IF($C$6&gt;G38,"Overdue","In review")))</f>
        <v/>
      </c>
      <c r="M38" s="20" t="n"/>
      <c r="N38" s="21" t="n"/>
      <c r="O38" s="25">
        <f>IF(AND(ISNUMBER(M38),H38&lt;&gt;""),M38-N(N38)-IF(OR(H38=INDEX($R$13:$R$19,4),H38=INDEX($R$13:$R$19,5)),I38,IF(NOT(ISNUMBER(E38)),$C$6+N(F38),MAX(G38,$C$6))),"")</f>
        <v/>
      </c>
      <c r="P38" s="28">
        <f>IF(O38="","",IF(OR(H38=INDEX($R$13:$R$19,4),H38=INDEX($R$13:$R$19,5)),"✓",IF(O38&lt;0,"At risk",IF(O38&lt;=$C$7,"Watch","OK"))))</f>
        <v/>
      </c>
      <c r="Q38" s="31">
        <f>IF(AND(ISNUMBER(O38),NOT(OR(H38=INDEX($R$13:$R$19,4),H38=INDEX($R$13:$R$19,5)))),O38+ROW()/100000,"")</f>
        <v/>
      </c>
    </row>
    <row r="39">
      <c r="A39" s="18" t="n"/>
      <c r="B39" s="29" t="n"/>
      <c r="C39" s="18" t="n"/>
      <c r="D39" s="18" t="n"/>
      <c r="E39" s="20" t="n"/>
      <c r="F39" s="21" t="n"/>
      <c r="G39" s="30">
        <f>IF(AND(ISNUMBER(E39),N(F39)&gt;0),E39+F39,"")</f>
        <v/>
      </c>
      <c r="H39" s="18" t="n"/>
      <c r="I39" s="20" t="n"/>
      <c r="J39" s="21" t="n"/>
      <c r="K39" s="25">
        <f>IF(NOT(ISNUMBER(E39)),"",IF(ISNUMBER(I39),I39-E39,$C$6-E39))</f>
        <v/>
      </c>
      <c r="L39" s="28">
        <f>IF(NOT(ISNUMBER(E39)),"",IF(ISNUMBER(I39),IF(I39&lt;=G39,"On time","Late"),IF($C$6&gt;G39,"Overdue","In review")))</f>
        <v/>
      </c>
      <c r="M39" s="20" t="n"/>
      <c r="N39" s="21" t="n"/>
      <c r="O39" s="25">
        <f>IF(AND(ISNUMBER(M39),H39&lt;&gt;""),M39-N(N39)-IF(OR(H39=INDEX($R$13:$R$19,4),H39=INDEX($R$13:$R$19,5)),I39,IF(NOT(ISNUMBER(E39)),$C$6+N(F39),MAX(G39,$C$6))),"")</f>
        <v/>
      </c>
      <c r="P39" s="28">
        <f>IF(O39="","",IF(OR(H39=INDEX($R$13:$R$19,4),H39=INDEX($R$13:$R$19,5)),"✓",IF(O39&lt;0,"At risk",IF(O39&lt;=$C$7,"Watch","OK"))))</f>
        <v/>
      </c>
      <c r="Q39" s="31">
        <f>IF(AND(ISNUMBER(O39),NOT(OR(H39=INDEX($R$13:$R$19,4),H39=INDEX($R$13:$R$19,5)))),O39+ROW()/100000,"")</f>
        <v/>
      </c>
    </row>
    <row r="40">
      <c r="A40" s="18" t="n"/>
      <c r="B40" s="29" t="n"/>
      <c r="C40" s="18" t="n"/>
      <c r="D40" s="18" t="n"/>
      <c r="E40" s="20" t="n"/>
      <c r="F40" s="21" t="n"/>
      <c r="G40" s="30">
        <f>IF(AND(ISNUMBER(E40),N(F40)&gt;0),E40+F40,"")</f>
        <v/>
      </c>
      <c r="H40" s="18" t="n"/>
      <c r="I40" s="20" t="n"/>
      <c r="J40" s="21" t="n"/>
      <c r="K40" s="25">
        <f>IF(NOT(ISNUMBER(E40)),"",IF(ISNUMBER(I40),I40-E40,$C$6-E40))</f>
        <v/>
      </c>
      <c r="L40" s="28">
        <f>IF(NOT(ISNUMBER(E40)),"",IF(ISNUMBER(I40),IF(I40&lt;=G40,"On time","Late"),IF($C$6&gt;G40,"Overdue","In review")))</f>
        <v/>
      </c>
      <c r="M40" s="20" t="n"/>
      <c r="N40" s="21" t="n"/>
      <c r="O40" s="25">
        <f>IF(AND(ISNUMBER(M40),H40&lt;&gt;""),M40-N(N40)-IF(OR(H40=INDEX($R$13:$R$19,4),H40=INDEX($R$13:$R$19,5)),I40,IF(NOT(ISNUMBER(E40)),$C$6+N(F40),MAX(G40,$C$6))),"")</f>
        <v/>
      </c>
      <c r="P40" s="28">
        <f>IF(O40="","",IF(OR(H40=INDEX($R$13:$R$19,4),H40=INDEX($R$13:$R$19,5)),"✓",IF(O40&lt;0,"At risk",IF(O40&lt;=$C$7,"Watch","OK"))))</f>
        <v/>
      </c>
      <c r="Q40" s="31">
        <f>IF(AND(ISNUMBER(O40),NOT(OR(H40=INDEX($R$13:$R$19,4),H40=INDEX($R$13:$R$19,5)))),O40+ROW()/100000,"")</f>
        <v/>
      </c>
    </row>
    <row r="41">
      <c r="A41" s="18" t="n"/>
      <c r="B41" s="29" t="n"/>
      <c r="C41" s="18" t="n"/>
      <c r="D41" s="18" t="n"/>
      <c r="E41" s="20" t="n"/>
      <c r="F41" s="21" t="n"/>
      <c r="G41" s="30">
        <f>IF(AND(ISNUMBER(E41),N(F41)&gt;0),E41+F41,"")</f>
        <v/>
      </c>
      <c r="H41" s="18" t="n"/>
      <c r="I41" s="20" t="n"/>
      <c r="J41" s="21" t="n"/>
      <c r="K41" s="25">
        <f>IF(NOT(ISNUMBER(E41)),"",IF(ISNUMBER(I41),I41-E41,$C$6-E41))</f>
        <v/>
      </c>
      <c r="L41" s="28">
        <f>IF(NOT(ISNUMBER(E41)),"",IF(ISNUMBER(I41),IF(I41&lt;=G41,"On time","Late"),IF($C$6&gt;G41,"Overdue","In review")))</f>
        <v/>
      </c>
      <c r="M41" s="20" t="n"/>
      <c r="N41" s="21" t="n"/>
      <c r="O41" s="25">
        <f>IF(AND(ISNUMBER(M41),H41&lt;&gt;""),M41-N(N41)-IF(OR(H41=INDEX($R$13:$R$19,4),H41=INDEX($R$13:$R$19,5)),I41,IF(NOT(ISNUMBER(E41)),$C$6+N(F41),MAX(G41,$C$6))),"")</f>
        <v/>
      </c>
      <c r="P41" s="28">
        <f>IF(O41="","",IF(OR(H41=INDEX($R$13:$R$19,4),H41=INDEX($R$13:$R$19,5)),"✓",IF(O41&lt;0,"At risk",IF(O41&lt;=$C$7,"Watch","OK"))))</f>
        <v/>
      </c>
      <c r="Q41" s="31">
        <f>IF(AND(ISNUMBER(O41),NOT(OR(H41=INDEX($R$13:$R$19,4),H41=INDEX($R$13:$R$19,5)))),O41+ROW()/100000,"")</f>
        <v/>
      </c>
    </row>
    <row r="42">
      <c r="A42" s="18" t="n"/>
      <c r="B42" s="29" t="n"/>
      <c r="C42" s="18" t="n"/>
      <c r="D42" s="18" t="n"/>
      <c r="E42" s="20" t="n"/>
      <c r="F42" s="21" t="n"/>
      <c r="G42" s="30">
        <f>IF(AND(ISNUMBER(E42),N(F42)&gt;0),E42+F42,"")</f>
        <v/>
      </c>
      <c r="H42" s="18" t="n"/>
      <c r="I42" s="20" t="n"/>
      <c r="J42" s="21" t="n"/>
      <c r="K42" s="25">
        <f>IF(NOT(ISNUMBER(E42)),"",IF(ISNUMBER(I42),I42-E42,$C$6-E42))</f>
        <v/>
      </c>
      <c r="L42" s="28">
        <f>IF(NOT(ISNUMBER(E42)),"",IF(ISNUMBER(I42),IF(I42&lt;=G42,"On time","Late"),IF($C$6&gt;G42,"Overdue","In review")))</f>
        <v/>
      </c>
      <c r="M42" s="20" t="n"/>
      <c r="N42" s="21" t="n"/>
      <c r="O42" s="25">
        <f>IF(AND(ISNUMBER(M42),H42&lt;&gt;""),M42-N(N42)-IF(OR(H42=INDEX($R$13:$R$19,4),H42=INDEX($R$13:$R$19,5)),I42,IF(NOT(ISNUMBER(E42)),$C$6+N(F42),MAX(G42,$C$6))),"")</f>
        <v/>
      </c>
      <c r="P42" s="28">
        <f>IF(O42="","",IF(OR(H42=INDEX($R$13:$R$19,4),H42=INDEX($R$13:$R$19,5)),"✓",IF(O42&lt;0,"At risk",IF(O42&lt;=$C$7,"Watch","OK"))))</f>
        <v/>
      </c>
      <c r="Q42" s="31">
        <f>IF(AND(ISNUMBER(O42),NOT(OR(H42=INDEX($R$13:$R$19,4),H42=INDEX($R$13:$R$19,5)))),O42+ROW()/100000,"")</f>
        <v/>
      </c>
    </row>
    <row r="43">
      <c r="A43" s="18" t="n"/>
      <c r="B43" s="29" t="n"/>
      <c r="C43" s="18" t="n"/>
      <c r="D43" s="18" t="n"/>
      <c r="E43" s="20" t="n"/>
      <c r="F43" s="21" t="n"/>
      <c r="G43" s="30">
        <f>IF(AND(ISNUMBER(E43),N(F43)&gt;0),E43+F43,"")</f>
        <v/>
      </c>
      <c r="H43" s="18" t="n"/>
      <c r="I43" s="20" t="n"/>
      <c r="J43" s="21" t="n"/>
      <c r="K43" s="25">
        <f>IF(NOT(ISNUMBER(E43)),"",IF(ISNUMBER(I43),I43-E43,$C$6-E43))</f>
        <v/>
      </c>
      <c r="L43" s="28">
        <f>IF(NOT(ISNUMBER(E43)),"",IF(ISNUMBER(I43),IF(I43&lt;=G43,"On time","Late"),IF($C$6&gt;G43,"Overdue","In review")))</f>
        <v/>
      </c>
      <c r="M43" s="20" t="n"/>
      <c r="N43" s="21" t="n"/>
      <c r="O43" s="25">
        <f>IF(AND(ISNUMBER(M43),H43&lt;&gt;""),M43-N(N43)-IF(OR(H43=INDEX($R$13:$R$19,4),H43=INDEX($R$13:$R$19,5)),I43,IF(NOT(ISNUMBER(E43)),$C$6+N(F43),MAX(G43,$C$6))),"")</f>
        <v/>
      </c>
      <c r="P43" s="28">
        <f>IF(O43="","",IF(OR(H43=INDEX($R$13:$R$19,4),H43=INDEX($R$13:$R$19,5)),"✓",IF(O43&lt;0,"At risk",IF(O43&lt;=$C$7,"Watch","OK"))))</f>
        <v/>
      </c>
      <c r="Q43" s="31">
        <f>IF(AND(ISNUMBER(O43),NOT(OR(H43=INDEX($R$13:$R$19,4),H43=INDEX($R$13:$R$19,5)))),O43+ROW()/100000,"")</f>
        <v/>
      </c>
    </row>
    <row r="44">
      <c r="A44" s="18" t="n"/>
      <c r="B44" s="29" t="n"/>
      <c r="C44" s="18" t="n"/>
      <c r="D44" s="18" t="n"/>
      <c r="E44" s="20" t="n"/>
      <c r="F44" s="21" t="n"/>
      <c r="G44" s="30">
        <f>IF(AND(ISNUMBER(E44),N(F44)&gt;0),E44+F44,"")</f>
        <v/>
      </c>
      <c r="H44" s="18" t="n"/>
      <c r="I44" s="20" t="n"/>
      <c r="J44" s="21" t="n"/>
      <c r="K44" s="25">
        <f>IF(NOT(ISNUMBER(E44)),"",IF(ISNUMBER(I44),I44-E44,$C$6-E44))</f>
        <v/>
      </c>
      <c r="L44" s="28">
        <f>IF(NOT(ISNUMBER(E44)),"",IF(ISNUMBER(I44),IF(I44&lt;=G44,"On time","Late"),IF($C$6&gt;G44,"Overdue","In review")))</f>
        <v/>
      </c>
      <c r="M44" s="20" t="n"/>
      <c r="N44" s="21" t="n"/>
      <c r="O44" s="25">
        <f>IF(AND(ISNUMBER(M44),H44&lt;&gt;""),M44-N(N44)-IF(OR(H44=INDEX($R$13:$R$19,4),H44=INDEX($R$13:$R$19,5)),I44,IF(NOT(ISNUMBER(E44)),$C$6+N(F44),MAX(G44,$C$6))),"")</f>
        <v/>
      </c>
      <c r="P44" s="28">
        <f>IF(O44="","",IF(OR(H44=INDEX($R$13:$R$19,4),H44=INDEX($R$13:$R$19,5)),"✓",IF(O44&lt;0,"At risk",IF(O44&lt;=$C$7,"Watch","OK"))))</f>
        <v/>
      </c>
      <c r="Q44" s="31">
        <f>IF(AND(ISNUMBER(O44),NOT(OR(H44=INDEX($R$13:$R$19,4),H44=INDEX($R$13:$R$19,5)))),O44+ROW()/100000,"")</f>
        <v/>
      </c>
    </row>
    <row r="45">
      <c r="A45" s="18" t="n"/>
      <c r="B45" s="29" t="n"/>
      <c r="C45" s="18" t="n"/>
      <c r="D45" s="18" t="n"/>
      <c r="E45" s="20" t="n"/>
      <c r="F45" s="21" t="n"/>
      <c r="G45" s="30">
        <f>IF(AND(ISNUMBER(E45),N(F45)&gt;0),E45+F45,"")</f>
        <v/>
      </c>
      <c r="H45" s="18" t="n"/>
      <c r="I45" s="20" t="n"/>
      <c r="J45" s="21" t="n"/>
      <c r="K45" s="25">
        <f>IF(NOT(ISNUMBER(E45)),"",IF(ISNUMBER(I45),I45-E45,$C$6-E45))</f>
        <v/>
      </c>
      <c r="L45" s="28">
        <f>IF(NOT(ISNUMBER(E45)),"",IF(ISNUMBER(I45),IF(I45&lt;=G45,"On time","Late"),IF($C$6&gt;G45,"Overdue","In review")))</f>
        <v/>
      </c>
      <c r="M45" s="20" t="n"/>
      <c r="N45" s="21" t="n"/>
      <c r="O45" s="25">
        <f>IF(AND(ISNUMBER(M45),H45&lt;&gt;""),M45-N(N45)-IF(OR(H45=INDEX($R$13:$R$19,4),H45=INDEX($R$13:$R$19,5)),I45,IF(NOT(ISNUMBER(E45)),$C$6+N(F45),MAX(G45,$C$6))),"")</f>
        <v/>
      </c>
      <c r="P45" s="28">
        <f>IF(O45="","",IF(OR(H45=INDEX($R$13:$R$19,4),H45=INDEX($R$13:$R$19,5)),"✓",IF(O45&lt;0,"At risk",IF(O45&lt;=$C$7,"Watch","OK"))))</f>
        <v/>
      </c>
      <c r="Q45" s="31">
        <f>IF(AND(ISNUMBER(O45),NOT(OR(H45=INDEX($R$13:$R$19,4),H45=INDEX($R$13:$R$19,5)))),O45+ROW()/100000,"")</f>
        <v/>
      </c>
    </row>
    <row r="46">
      <c r="A46" s="18" t="n"/>
      <c r="B46" s="29" t="n"/>
      <c r="C46" s="18" t="n"/>
      <c r="D46" s="18" t="n"/>
      <c r="E46" s="20" t="n"/>
      <c r="F46" s="21" t="n"/>
      <c r="G46" s="30">
        <f>IF(AND(ISNUMBER(E46),N(F46)&gt;0),E46+F46,"")</f>
        <v/>
      </c>
      <c r="H46" s="18" t="n"/>
      <c r="I46" s="20" t="n"/>
      <c r="J46" s="21" t="n"/>
      <c r="K46" s="25">
        <f>IF(NOT(ISNUMBER(E46)),"",IF(ISNUMBER(I46),I46-E46,$C$6-E46))</f>
        <v/>
      </c>
      <c r="L46" s="28">
        <f>IF(NOT(ISNUMBER(E46)),"",IF(ISNUMBER(I46),IF(I46&lt;=G46,"On time","Late"),IF($C$6&gt;G46,"Overdue","In review")))</f>
        <v/>
      </c>
      <c r="M46" s="20" t="n"/>
      <c r="N46" s="21" t="n"/>
      <c r="O46" s="25">
        <f>IF(AND(ISNUMBER(M46),H46&lt;&gt;""),M46-N(N46)-IF(OR(H46=INDEX($R$13:$R$19,4),H46=INDEX($R$13:$R$19,5)),I46,IF(NOT(ISNUMBER(E46)),$C$6+N(F46),MAX(G46,$C$6))),"")</f>
        <v/>
      </c>
      <c r="P46" s="28">
        <f>IF(O46="","",IF(OR(H46=INDEX($R$13:$R$19,4),H46=INDEX($R$13:$R$19,5)),"✓",IF(O46&lt;0,"At risk",IF(O46&lt;=$C$7,"Watch","OK"))))</f>
        <v/>
      </c>
      <c r="Q46" s="31">
        <f>IF(AND(ISNUMBER(O46),NOT(OR(H46=INDEX($R$13:$R$19,4),H46=INDEX($R$13:$R$19,5)))),O46+ROW()/100000,"")</f>
        <v/>
      </c>
    </row>
    <row r="47">
      <c r="A47" s="18" t="n"/>
      <c r="B47" s="29" t="n"/>
      <c r="C47" s="18" t="n"/>
      <c r="D47" s="18" t="n"/>
      <c r="E47" s="20" t="n"/>
      <c r="F47" s="21" t="n"/>
      <c r="G47" s="30">
        <f>IF(AND(ISNUMBER(E47),N(F47)&gt;0),E47+F47,"")</f>
        <v/>
      </c>
      <c r="H47" s="18" t="n"/>
      <c r="I47" s="20" t="n"/>
      <c r="J47" s="21" t="n"/>
      <c r="K47" s="25">
        <f>IF(NOT(ISNUMBER(E47)),"",IF(ISNUMBER(I47),I47-E47,$C$6-E47))</f>
        <v/>
      </c>
      <c r="L47" s="28">
        <f>IF(NOT(ISNUMBER(E47)),"",IF(ISNUMBER(I47),IF(I47&lt;=G47,"On time","Late"),IF($C$6&gt;G47,"Overdue","In review")))</f>
        <v/>
      </c>
      <c r="M47" s="20" t="n"/>
      <c r="N47" s="21" t="n"/>
      <c r="O47" s="25">
        <f>IF(AND(ISNUMBER(M47),H47&lt;&gt;""),M47-N(N47)-IF(OR(H47=INDEX($R$13:$R$19,4),H47=INDEX($R$13:$R$19,5)),I47,IF(NOT(ISNUMBER(E47)),$C$6+N(F47),MAX(G47,$C$6))),"")</f>
        <v/>
      </c>
      <c r="P47" s="28">
        <f>IF(O47="","",IF(OR(H47=INDEX($R$13:$R$19,4),H47=INDEX($R$13:$R$19,5)),"✓",IF(O47&lt;0,"At risk",IF(O47&lt;=$C$7,"Watch","OK"))))</f>
        <v/>
      </c>
      <c r="Q47" s="31">
        <f>IF(AND(ISNUMBER(O47),NOT(OR(H47=INDEX($R$13:$R$19,4),H47=INDEX($R$13:$R$19,5)))),O47+ROW()/100000,"")</f>
        <v/>
      </c>
    </row>
    <row r="48">
      <c r="A48" s="18" t="n"/>
      <c r="B48" s="29" t="n"/>
      <c r="C48" s="18" t="n"/>
      <c r="D48" s="18" t="n"/>
      <c r="E48" s="20" t="n"/>
      <c r="F48" s="21" t="n"/>
      <c r="G48" s="30">
        <f>IF(AND(ISNUMBER(E48),N(F48)&gt;0),E48+F48,"")</f>
        <v/>
      </c>
      <c r="H48" s="18" t="n"/>
      <c r="I48" s="20" t="n"/>
      <c r="J48" s="21" t="n"/>
      <c r="K48" s="25">
        <f>IF(NOT(ISNUMBER(E48)),"",IF(ISNUMBER(I48),I48-E48,$C$6-E48))</f>
        <v/>
      </c>
      <c r="L48" s="28">
        <f>IF(NOT(ISNUMBER(E48)),"",IF(ISNUMBER(I48),IF(I48&lt;=G48,"On time","Late"),IF($C$6&gt;G48,"Overdue","In review")))</f>
        <v/>
      </c>
      <c r="M48" s="20" t="n"/>
      <c r="N48" s="21" t="n"/>
      <c r="O48" s="25">
        <f>IF(AND(ISNUMBER(M48),H48&lt;&gt;""),M48-N(N48)-IF(OR(H48=INDEX($R$13:$R$19,4),H48=INDEX($R$13:$R$19,5)),I48,IF(NOT(ISNUMBER(E48)),$C$6+N(F48),MAX(G48,$C$6))),"")</f>
        <v/>
      </c>
      <c r="P48" s="28">
        <f>IF(O48="","",IF(OR(H48=INDEX($R$13:$R$19,4),H48=INDEX($R$13:$R$19,5)),"✓",IF(O48&lt;0,"At risk",IF(O48&lt;=$C$7,"Watch","OK"))))</f>
        <v/>
      </c>
      <c r="Q48" s="31">
        <f>IF(AND(ISNUMBER(O48),NOT(OR(H48=INDEX($R$13:$R$19,4),H48=INDEX($R$13:$R$19,5)))),O48+ROW()/100000,"")</f>
        <v/>
      </c>
    </row>
    <row r="49">
      <c r="A49" s="18" t="n"/>
      <c r="B49" s="29" t="n"/>
      <c r="C49" s="18" t="n"/>
      <c r="D49" s="18" t="n"/>
      <c r="E49" s="20" t="n"/>
      <c r="F49" s="21" t="n"/>
      <c r="G49" s="30">
        <f>IF(AND(ISNUMBER(E49),N(F49)&gt;0),E49+F49,"")</f>
        <v/>
      </c>
      <c r="H49" s="18" t="n"/>
      <c r="I49" s="20" t="n"/>
      <c r="J49" s="21" t="n"/>
      <c r="K49" s="25">
        <f>IF(NOT(ISNUMBER(E49)),"",IF(ISNUMBER(I49),I49-E49,$C$6-E49))</f>
        <v/>
      </c>
      <c r="L49" s="28">
        <f>IF(NOT(ISNUMBER(E49)),"",IF(ISNUMBER(I49),IF(I49&lt;=G49,"On time","Late"),IF($C$6&gt;G49,"Overdue","In review")))</f>
        <v/>
      </c>
      <c r="M49" s="20" t="n"/>
      <c r="N49" s="21" t="n"/>
      <c r="O49" s="25">
        <f>IF(AND(ISNUMBER(M49),H49&lt;&gt;""),M49-N(N49)-IF(OR(H49=INDEX($R$13:$R$19,4),H49=INDEX($R$13:$R$19,5)),I49,IF(NOT(ISNUMBER(E49)),$C$6+N(F49),MAX(G49,$C$6))),"")</f>
        <v/>
      </c>
      <c r="P49" s="28">
        <f>IF(O49="","",IF(OR(H49=INDEX($R$13:$R$19,4),H49=INDEX($R$13:$R$19,5)),"✓",IF(O49&lt;0,"At risk",IF(O49&lt;=$C$7,"Watch","OK"))))</f>
        <v/>
      </c>
      <c r="Q49" s="31">
        <f>IF(AND(ISNUMBER(O49),NOT(OR(H49=INDEX($R$13:$R$19,4),H49=INDEX($R$13:$R$19,5)))),O49+ROW()/100000,"")</f>
        <v/>
      </c>
    </row>
    <row r="50">
      <c r="A50" s="18" t="n"/>
      <c r="B50" s="29" t="n"/>
      <c r="C50" s="18" t="n"/>
      <c r="D50" s="18" t="n"/>
      <c r="E50" s="20" t="n"/>
      <c r="F50" s="21" t="n"/>
      <c r="G50" s="30">
        <f>IF(AND(ISNUMBER(E50),N(F50)&gt;0),E50+F50,"")</f>
        <v/>
      </c>
      <c r="H50" s="18" t="n"/>
      <c r="I50" s="20" t="n"/>
      <c r="J50" s="21" t="n"/>
      <c r="K50" s="25">
        <f>IF(NOT(ISNUMBER(E50)),"",IF(ISNUMBER(I50),I50-E50,$C$6-E50))</f>
        <v/>
      </c>
      <c r="L50" s="28">
        <f>IF(NOT(ISNUMBER(E50)),"",IF(ISNUMBER(I50),IF(I50&lt;=G50,"On time","Late"),IF($C$6&gt;G50,"Overdue","In review")))</f>
        <v/>
      </c>
      <c r="M50" s="20" t="n"/>
      <c r="N50" s="21" t="n"/>
      <c r="O50" s="25">
        <f>IF(AND(ISNUMBER(M50),H50&lt;&gt;""),M50-N(N50)-IF(OR(H50=INDEX($R$13:$R$19,4),H50=INDEX($R$13:$R$19,5)),I50,IF(NOT(ISNUMBER(E50)),$C$6+N(F50),MAX(G50,$C$6))),"")</f>
        <v/>
      </c>
      <c r="P50" s="28">
        <f>IF(O50="","",IF(OR(H50=INDEX($R$13:$R$19,4),H50=INDEX($R$13:$R$19,5)),"✓",IF(O50&lt;0,"At risk",IF(O50&lt;=$C$7,"Watch","OK"))))</f>
        <v/>
      </c>
      <c r="Q50" s="31">
        <f>IF(AND(ISNUMBER(O50),NOT(OR(H50=INDEX($R$13:$R$19,4),H50=INDEX($R$13:$R$19,5)))),O50+ROW()/100000,"")</f>
        <v/>
      </c>
    </row>
    <row r="51">
      <c r="A51" s="18" t="n"/>
      <c r="B51" s="29" t="n"/>
      <c r="C51" s="18" t="n"/>
      <c r="D51" s="18" t="n"/>
      <c r="E51" s="20" t="n"/>
      <c r="F51" s="21" t="n"/>
      <c r="G51" s="30">
        <f>IF(AND(ISNUMBER(E51),N(F51)&gt;0),E51+F51,"")</f>
        <v/>
      </c>
      <c r="H51" s="18" t="n"/>
      <c r="I51" s="20" t="n"/>
      <c r="J51" s="21" t="n"/>
      <c r="K51" s="25">
        <f>IF(NOT(ISNUMBER(E51)),"",IF(ISNUMBER(I51),I51-E51,$C$6-E51))</f>
        <v/>
      </c>
      <c r="L51" s="28">
        <f>IF(NOT(ISNUMBER(E51)),"",IF(ISNUMBER(I51),IF(I51&lt;=G51,"On time","Late"),IF($C$6&gt;G51,"Overdue","In review")))</f>
        <v/>
      </c>
      <c r="M51" s="20" t="n"/>
      <c r="N51" s="21" t="n"/>
      <c r="O51" s="25">
        <f>IF(AND(ISNUMBER(M51),H51&lt;&gt;""),M51-N(N51)-IF(OR(H51=INDEX($R$13:$R$19,4),H51=INDEX($R$13:$R$19,5)),I51,IF(NOT(ISNUMBER(E51)),$C$6+N(F51),MAX(G51,$C$6))),"")</f>
        <v/>
      </c>
      <c r="P51" s="28">
        <f>IF(O51="","",IF(OR(H51=INDEX($R$13:$R$19,4),H51=INDEX($R$13:$R$19,5)),"✓",IF(O51&lt;0,"At risk",IF(O51&lt;=$C$7,"Watch","OK"))))</f>
        <v/>
      </c>
      <c r="Q51" s="31">
        <f>IF(AND(ISNUMBER(O51),NOT(OR(H51=INDEX($R$13:$R$19,4),H51=INDEX($R$13:$R$19,5)))),O51+ROW()/100000,"")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6">
    <mergeCell ref="E10:G10"/>
    <mergeCell ref="E13:G13"/>
    <mergeCell ref="J10:K10"/>
    <mergeCell ref="E5:F5"/>
    <mergeCell ref="K5:L5"/>
    <mergeCell ref="E9:G9"/>
    <mergeCell ref="E7:H7"/>
    <mergeCell ref="M5:N5"/>
    <mergeCell ref="A20:P20"/>
    <mergeCell ref="L8:N8"/>
    <mergeCell ref="A6:B6"/>
    <mergeCell ref="J9:K9"/>
    <mergeCell ref="E4:F4"/>
    <mergeCell ref="L10:N10"/>
    <mergeCell ref="A7:B7"/>
    <mergeCell ref="A5:C5"/>
    <mergeCell ref="E11:G11"/>
    <mergeCell ref="A2:R2"/>
    <mergeCell ref="A8:C8"/>
    <mergeCell ref="L9:N9"/>
    <mergeCell ref="L11:N11"/>
    <mergeCell ref="J11:K11"/>
    <mergeCell ref="G5:H5"/>
    <mergeCell ref="I5:J5"/>
    <mergeCell ref="E12:G12"/>
    <mergeCell ref="G4:H4"/>
    <mergeCell ref="I4:J4"/>
    <mergeCell ref="J12:K12"/>
    <mergeCell ref="E14:G14"/>
    <mergeCell ref="E8:G8"/>
    <mergeCell ref="A1:R1"/>
    <mergeCell ref="J7:P7"/>
    <mergeCell ref="L12:N12"/>
    <mergeCell ref="K4:L4"/>
    <mergeCell ref="J8:K8"/>
    <mergeCell ref="M4:N4"/>
  </mergeCells>
  <conditionalFormatting sqref="P22:P51">
    <cfRule type="expression" priority="1" dxfId="0">
      <formula>$P22="At risk"</formula>
    </cfRule>
    <cfRule type="expression" priority="2" dxfId="1">
      <formula>$P22="Watch"</formula>
    </cfRule>
    <cfRule type="expression" priority="3" dxfId="2">
      <formula>$P22="✓"</formula>
    </cfRule>
  </conditionalFormatting>
  <conditionalFormatting sqref="L22:L51">
    <cfRule type="expression" priority="4" dxfId="3">
      <formula>OR($L22="Overdue",$L22="Late")</formula>
    </cfRule>
  </conditionalFormatting>
  <conditionalFormatting sqref="H22:H51">
    <cfRule type="expression" priority="5" dxfId="4">
      <formula>OR($H22=INDEX($R$13:$R$19,4),$H22=INDEX($R$13:$R$19,5))</formula>
    </cfRule>
    <cfRule type="expression" priority="6" dxfId="5">
      <formula>OR($H22=INDEX($R$13:$R$19,6),$H22=INDEX($R$13:$R$19,7))</formula>
    </cfRule>
  </conditionalFormatting>
  <conditionalFormatting sqref="H8:H14">
    <cfRule type="dataBar" priority="7">
      <dataBar showValue="1">
        <cfvo type="num" val="0"/>
        <cfvo type="max"/>
        <color rgb="00F97316"/>
      </dataBar>
    </cfRule>
  </conditionalFormatting>
  <dataValidations count="10">
    <dataValidation sqref="C6 F22:F51" showDropDown="0" showInputMessage="0" showErrorMessage="1" allowBlank="1" errorTitle="Sheetaky" error="Enter a valid date" type="date" operator="greaterThan">
      <formula1>1</formula1>
    </dataValidation>
    <dataValidation sqref="C7" showDropDown="0" showInputMessage="0" showErrorMessage="1" allowBlank="1" errorTitle="Sheetaky" error="Enter a number between 0 and 60" type="whole" operator="between">
      <formula1>0</formula1>
      <formula2>60</formula2>
    </dataValidation>
    <dataValidation sqref="C22:C51" showDropDown="0" showInputMessage="0" showErrorMessage="1" allowBlank="1" errorTitle="Sheetaky" error="Pick a value from the list" type="list">
      <formula1>=$R$5:$R$10</formula1>
    </dataValidation>
    <dataValidation sqref="D22:D51" showDropDown="0" showInputMessage="0" showErrorMessage="1" allowBlank="1" errorTitle="Sheetaky" error="Pick a value from the list" type="list">
      <formula1>=$R$22:$R$25</formula1>
    </dataValidation>
    <dataValidation sqref="H22:H51" showDropDown="0" showInputMessage="0" showErrorMessage="1" allowBlank="1" errorTitle="Sheetaky" error="Pick a value from the list" type="list">
      <formula1>=$R$13:$R$19</formula1>
    </dataValidation>
    <dataValidation sqref="E22:E51" showDropDown="0" showInputMessage="0" showErrorMessage="1" allowBlank="1" errorTitle="Sheetaky" error="Enter a valid date" type="date" operator="greaterThan">
      <formula1>1</formula1>
    </dataValidation>
    <dataValidation sqref="I22:I51" showDropDown="0" showInputMessage="0" showErrorMessage="1" allowBlank="1" errorTitle="Sheetaky" error="Enter a valid date" type="date" operator="greaterThan">
      <formula1>1</formula1>
    </dataValidation>
    <dataValidation sqref="M22:M51" showDropDown="0" showInputMessage="0" showErrorMessage="1" allowBlank="1" errorTitle="Sheetaky" error="Enter a valid date" type="date" operator="greaterThan">
      <formula1>1</formula1>
    </dataValidation>
    <dataValidation sqref="N22:N51" showDropDown="0" showInputMessage="0" showErrorMessage="1" allowBlank="1" errorTitle="Sheetaky" error="Enter a number between 0 and 365" type="whole" operator="between">
      <formula1>0</formula1>
      <formula2>365</formula2>
    </dataValidation>
    <dataValidation sqref="J22:J51" showDropDown="0" showInputMessage="0" showErrorMessage="1" allowBlank="1" errorTitle="Sheetaky" error="Enter a number between 0 and 20" type="whole" operator="between">
      <formula1>0</formula1>
      <formula2>20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F97316"/>
    <outlinePr summaryBelow="1" summaryRight="1"/>
    <pageSetUpPr fitToPage="1"/>
  </sheetPr>
  <dimension ref="A1:B24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How to use: Submittals log</t>
        </is>
      </c>
      <c r="B1" s="2" t="n"/>
    </row>
    <row r="2" ht="18" customHeight="1">
      <c r="A2" s="3" t="inlineStr">
        <is>
          <t>Sheetaky.com · Ready Excel sheets in Arabic and English</t>
        </is>
      </c>
      <c r="B2" s="4" t="n"/>
    </row>
    <row r="4" ht="22" customHeight="1">
      <c r="A4" s="10" t="inlineStr">
        <is>
          <t>What is this sheet?</t>
        </is>
      </c>
      <c r="B4" s="11" t="n"/>
    </row>
    <row r="5" ht="30" customHeight="1">
      <c r="A5" s="32" t="inlineStr">
        <is>
          <t>Tracks drawings, samples and data sheets sent for approval: review dates, status, delay and float before they are needed on site.</t>
        </is>
      </c>
    </row>
    <row r="7" ht="22" customHeight="1">
      <c r="A7" s="10" t="inlineStr">
        <is>
          <t>Steps</t>
        </is>
      </c>
      <c r="B7" s="11" t="n"/>
    </row>
    <row r="8" ht="20" customHeight="1">
      <c r="A8" s="33" t="n">
        <v>1</v>
      </c>
      <c r="B8" s="32" t="inlineStr">
        <is>
          <t>Enter the report date.</t>
        </is>
      </c>
    </row>
    <row r="9" ht="20" customHeight="1">
      <c r="A9" s="33" t="n">
        <v>2</v>
      </c>
      <c r="B9" s="32" t="inlineStr">
        <is>
          <t>Log each submittal with type, reviewer, submission date and allowed review days.</t>
        </is>
      </c>
    </row>
    <row r="10" ht="20" customHeight="1">
      <c r="A10" s="33" t="n">
        <v>3</v>
      </c>
      <c r="B10" s="32" t="inlineStr">
        <is>
          <t>Update status and return date when the reply arrives.</t>
        </is>
      </c>
    </row>
    <row r="11" ht="20" customHeight="1">
      <c r="A11" s="33" t="n">
        <v>4</v>
      </c>
      <c r="B11" s="32" t="inlineStr">
        <is>
          <t>Enter the need-on-site date and lead time to see float and flag.</t>
        </is>
      </c>
    </row>
    <row r="13" ht="22" customHeight="1">
      <c r="A13" s="10" t="inlineStr">
        <is>
          <t>Color legend</t>
        </is>
      </c>
      <c r="B13" s="11" t="n"/>
    </row>
    <row r="14">
      <c r="A14" s="29" t="inlineStr"/>
      <c r="B14" s="32" t="inlineStr">
        <is>
          <t>Input cell: type or choose your value here (blue text on yellow).</t>
        </is>
      </c>
    </row>
    <row r="15">
      <c r="A15" s="26" t="inlineStr"/>
      <c r="B15" s="32" t="inlineStr">
        <is>
          <t>Calculated cell: automatic formula, protected from accidental edits.</t>
        </is>
      </c>
    </row>
    <row r="16">
      <c r="A16" s="34" t="inlineStr"/>
      <c r="B16" s="32" t="inlineStr">
        <is>
          <t>Table and section headers.</t>
        </is>
      </c>
    </row>
    <row r="18" ht="22" customHeight="1">
      <c r="A18" s="10" t="inlineStr">
        <is>
          <t>Important notes</t>
        </is>
      </c>
      <c r="B18" s="11" t="n"/>
    </row>
    <row r="19" ht="20" customHeight="1">
      <c r="A19" s="35" t="inlineStr">
        <is>
          <t>•</t>
        </is>
      </c>
      <c r="B19" s="36" t="inlineStr">
        <is>
          <t>Float = need date − lead time − expected return date.</t>
        </is>
      </c>
    </row>
    <row r="20" ht="20" customHeight="1">
      <c r="A20" s="35" t="inlineStr">
        <is>
          <t>•</t>
        </is>
      </c>
      <c r="B20" s="36" t="inlineStr">
        <is>
          <t>Items not yet submitted are counted as submitted today.</t>
        </is>
      </c>
    </row>
    <row r="21" ht="20" customHeight="1">
      <c r="A21" s="35" t="inlineStr">
        <is>
          <t>•</t>
        </is>
      </c>
      <c r="B21" s="36" t="inlineStr">
        <is>
          <t>Status names in the right-hand list are editable.</t>
        </is>
      </c>
    </row>
    <row r="22" ht="30" customHeight="1">
      <c r="A22" s="35" t="inlineStr">
        <is>
          <t>•</t>
        </is>
      </c>
      <c r="B22" s="36" t="inlineStr">
        <is>
          <t>Sheets are protected without a password to keep formulas safe. To unprotect: Review → Unprotect Sheet.</t>
        </is>
      </c>
    </row>
    <row r="23" ht="20" customHeight="1">
      <c r="A23" s="35" t="inlineStr">
        <is>
          <t>•</t>
        </is>
      </c>
      <c r="B23" s="36" t="inlineStr">
        <is>
          <t>The data shown is a worked example. Clear it and type your own data in the yellow cells only.</t>
        </is>
      </c>
    </row>
    <row r="24" ht="20" customHeight="1">
      <c r="A24" s="35" t="inlineStr">
        <is>
          <t>•</t>
        </is>
      </c>
      <c r="B24" s="36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SUB</dc:title>
  <dcterms:created xmlns:dcterms="http://purl.org/dc/terms/" xmlns:xsi="http://www.w3.org/2001/XMLSchema-instance" xsi:type="dcterms:W3CDTF">2026-10-23T13:03:43Z</dcterms:created>
  <dcterms:modified xmlns:dcterms="http://purl.org/dc/terms/" xmlns:xsi="http://www.w3.org/2001/XMLSchema-instance" xsi:type="dcterms:W3CDTF">2026-10-23T13:03:43Z</dcterms:modified>
</cp:coreProperties>
</file>