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r PV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0.00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7C2D12"/>
      <sz val="11"/>
    </font>
    <font>
      <name val="Calibri"/>
      <b val="1"/>
      <color rgb="003A1F12"/>
      <sz val="10"/>
    </font>
    <font>
      <name val="Calibri"/>
      <color rgb="001F4FB5"/>
      <sz val="10"/>
    </font>
    <font>
      <name val="Calibri"/>
      <color rgb="003A1F12"/>
      <sz val="10"/>
    </font>
    <font>
      <name val="Calibri"/>
      <color rgb="008A6A55"/>
      <sz val="9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FDBA74"/>
      <sz val="18"/>
    </font>
    <font>
      <name val="Calibri"/>
      <b val="1"/>
      <color rgb="008A6A55"/>
      <sz val="9"/>
    </font>
    <font>
      <name val="Calibri"/>
      <b val="1"/>
      <color rgb="00C2410C"/>
      <sz val="18"/>
    </font>
    <font>
      <name val="Calibri"/>
      <b val="1"/>
      <color rgb="00FDBA74"/>
      <sz val="10"/>
    </font>
  </fonts>
  <fills count="8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7C2D12"/>
      </patternFill>
    </fill>
    <fill>
      <patternFill patternType="solid">
        <fgColor rgb="00FCE3CB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FBD5AE"/>
      </patternFill>
    </fill>
  </fills>
  <borders count="4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top style="medium">
        <color rgb="00FDBA74"/>
      </top>
    </border>
    <border/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8" fillId="2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9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6" fillId="6" borderId="1" applyAlignment="1" pivotButton="0" quotePrefix="0" xfId="0">
      <alignment horizontal="center" vertical="center" wrapText="1" readingOrder="1"/>
    </xf>
    <xf numFmtId="164" fontId="10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1" fontId="12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9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12" fillId="6" borderId="3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center" vertical="center" wrapText="1" readingOrder="1"/>
    </xf>
    <xf numFmtId="164" fontId="12" fillId="6" borderId="3" applyAlignment="1" pivotButton="0" quotePrefix="0" xfId="0">
      <alignment horizontal="center" vertical="center" wrapText="1" readingOrder="1"/>
    </xf>
    <xf numFmtId="9" fontId="12" fillId="6" borderId="3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0" fillId="0" borderId="1" pivotButton="0" quotePrefix="0" xfId="0"/>
    <xf numFmtId="1" fontId="4" fillId="6" borderId="1" applyAlignment="1" pivotButton="0" quotePrefix="0" xfId="0">
      <alignment horizontal="center" vertical="center" wrapText="1" readingOrder="1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6" borderId="1" applyAlignment="1" pivotButton="0" quotePrefix="0" xfId="0">
      <alignment horizontal="center" vertical="center" wrapText="1" readingOrder="1"/>
    </xf>
    <xf numFmtId="164" fontId="4" fillId="6" borderId="1" applyAlignment="1" pivotButton="0" quotePrefix="0" xfId="0">
      <alignment horizontal="center" vertical="center" wrapText="1" readingOrder="1"/>
    </xf>
    <xf numFmtId="3" fontId="4" fillId="6" borderId="1" applyAlignment="1" pivotButton="0" quotePrefix="0" xfId="0">
      <alignment horizontal="center" vertical="center" wrapText="1" readingOrder="1"/>
    </xf>
    <xf numFmtId="166" fontId="4" fillId="6" borderId="1" applyAlignment="1" pivotButton="0" quotePrefix="0" xfId="0">
      <alignment horizontal="center" vertical="center" wrapText="1" readingOrder="1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6" fillId="0" borderId="1" applyAlignment="1" pivotButton="0" quotePrefix="0" xfId="0">
      <alignment horizontal="center" vertical="center" wrapText="1" readingOrder="1"/>
    </xf>
    <xf numFmtId="3" fontId="6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3" fontId="4" fillId="7" borderId="1" applyAlignment="1" pivotButton="0" quotePrefix="0" xfId="0">
      <alignment horizontal="center" vertical="center" wrapText="1" readingOrder="1"/>
    </xf>
    <xf numFmtId="0" fontId="6" fillId="7" borderId="1" applyAlignment="1" pivotButton="0" quotePrefix="0" xfId="0">
      <alignment horizontal="center" vertical="center" wrapText="1" readingOrder="1"/>
    </xf>
    <xf numFmtId="1" fontId="4" fillId="0" borderId="1" applyAlignment="1" pivotButton="0" quotePrefix="0" xfId="0">
      <alignment horizontal="left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6" fillId="6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13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Calibri"/>
        <color rgb="003A1F12"/>
      </font>
      <fill>
        <patternFill patternType="solid">
          <fgColor rgb="00CFE8C9"/>
        </patternFill>
      </fill>
    </dxf>
    <dxf>
      <font>
        <name val="Calibri"/>
        <color rgb="003A1F12"/>
      </font>
      <fill>
        <patternFill patternType="solid">
          <f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Consumption vs solar output (kWh)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'Solar PV'!B34</f>
            </strRef>
          </tx>
          <spPr>
            <a:solidFill xmlns:a="http://schemas.openxmlformats.org/drawingml/2006/main">
              <a:srgbClr val="9AA5A0"/>
            </a:solidFill>
            <a:ln xmlns:a="http://schemas.openxmlformats.org/drawingml/2006/main">
              <a:prstDash val="solid"/>
            </a:ln>
          </spPr>
          <cat>
            <numRef>
              <f>'Solar PV'!$A$35:$A$46</f>
            </numRef>
          </cat>
          <val>
            <numRef>
              <f>'Solar PV'!$B$35:$B$46</f>
            </numRef>
          </val>
        </ser>
        <ser>
          <idx val="1"/>
          <order val="1"/>
          <tx>
            <strRef>
              <f>'Solar PV'!E34</f>
            </strRef>
          </tx>
          <spPr>
            <a:solidFill xmlns:a="http://schemas.openxmlformats.org/drawingml/2006/main">
              <a:srgbClr val="FDBA74"/>
            </a:solidFill>
            <a:ln xmlns:a="http://schemas.openxmlformats.org/drawingml/2006/main">
              <a:prstDash val="solid"/>
            </a:ln>
          </spPr>
          <cat>
            <numRef>
              <f>'Solar PV'!$A$35:$A$46</f>
            </numRef>
          </cat>
          <val>
            <numRef>
              <f>'Solar PV'!$E$35:$E$46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M75"/>
  <sheetViews>
    <sheetView showGridLines="0" rightToLeft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1" customWidth="1" min="3" max="3"/>
    <col width="12" customWidth="1" min="4" max="4"/>
    <col width="15" customWidth="1" min="5" max="5"/>
    <col width="15" customWidth="1" min="6" max="6"/>
    <col width="14" customWidth="1" min="7" max="7"/>
    <col width="14" customWidth="1" min="8" max="8"/>
    <col width="3" customWidth="1" min="9" max="9"/>
    <col width="26" customWidth="1" min="10" max="10"/>
    <col width="9" customWidth="1" min="11" max="11"/>
    <col width="3" customWidth="1" min="12" max="12"/>
    <col width="10" customWidth="1" min="13" max="13"/>
  </cols>
  <sheetData>
    <row r="1" ht="36" customHeight="1">
      <c r="A1" s="1" t="inlineStr">
        <is>
          <t>Solar PV Calculator: Panels, Inverter, Savings and Payback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Enter your monthly use, city and tariff; the sheet sizes the plant, its monthly output, yearly savings and payback over 25 years</t>
        </is>
      </c>
      <c r="B2" s="4" t="n"/>
      <c r="C2" s="4" t="n"/>
      <c r="D2" s="4" t="n"/>
      <c r="E2" s="4" t="n"/>
      <c r="F2" s="4" t="n"/>
      <c r="G2" s="4" t="n"/>
      <c r="H2" s="4" t="n"/>
    </row>
    <row r="4" ht="22" customHeight="1">
      <c r="A4" s="5" t="inlineStr">
        <is>
          <t>Site and system</t>
        </is>
      </c>
      <c r="B4" s="6" t="n"/>
      <c r="C4" s="6" t="n"/>
      <c r="J4" s="7" t="inlineStr">
        <is>
          <t>City</t>
        </is>
      </c>
      <c r="K4" s="7" t="inlineStr">
        <is>
          <t>PSH</t>
        </is>
      </c>
      <c r="M4" s="7" t="inlineStr">
        <is>
          <t>kW</t>
        </is>
      </c>
    </row>
    <row r="5" ht="18" customHeight="1">
      <c r="A5" s="8" t="inlineStr">
        <is>
          <t>City</t>
        </is>
      </c>
      <c r="B5" s="9" t="inlineStr">
        <is>
          <t>Riyadh</t>
        </is>
      </c>
      <c r="E5" s="10" t="inlineStr">
        <is>
          <t>Plant size (kWp)</t>
        </is>
      </c>
      <c r="F5" s="11" t="n"/>
      <c r="G5" s="12" t="inlineStr">
        <is>
          <t>Number of panels</t>
        </is>
      </c>
      <c r="H5" s="13" t="n"/>
      <c r="J5" s="9" t="inlineStr">
        <is>
          <t>Riyadh</t>
        </is>
      </c>
      <c r="K5" s="14" t="n">
        <v>6.3</v>
      </c>
      <c r="M5" s="15" t="n">
        <v>3</v>
      </c>
    </row>
    <row r="6" ht="40" customHeight="1">
      <c r="A6" s="8" t="inlineStr">
        <is>
          <t>Peak sun hours (kWh/m²/day)</t>
        </is>
      </c>
      <c r="B6" s="16">
        <f>INDEX($K$5:$K$26,MATCH($B$5,$J$5:$J$26,0))</f>
        <v/>
      </c>
      <c r="E6" s="17">
        <f>(MIN(ROUNDUP(SUM($B$35:$B$46)*$B$8/($B$6*365*$B$9)*1000/$B$10,0),ROUNDDOWN($B$12/$B$11,0))*$B$10/1000)</f>
        <v/>
      </c>
      <c r="F6" s="18" t="n"/>
      <c r="G6" s="19">
        <f>MIN(ROUNDUP(SUM($B$35:$B$46)*$B$8/($B$6*365*$B$9)*1000/$B$10,0),ROUNDDOWN($B$12/$B$11,0))</f>
        <v/>
      </c>
      <c r="H6" s="20" t="n"/>
      <c r="J6" s="9" t="inlineStr">
        <is>
          <t>Jeddah</t>
        </is>
      </c>
      <c r="K6" s="14" t="n">
        <v>6.1</v>
      </c>
      <c r="M6" s="15" t="n">
        <v>5</v>
      </c>
    </row>
    <row r="7">
      <c r="A7" s="8" t="inlineStr">
        <is>
          <t>System type</t>
        </is>
      </c>
      <c r="B7" s="9" t="inlineStr">
        <is>
          <t>Grid-tied (net metering)</t>
        </is>
      </c>
      <c r="J7" s="9" t="inlineStr">
        <is>
          <t>Makkah</t>
        </is>
      </c>
      <c r="K7" s="14" t="n">
        <v>6.2</v>
      </c>
      <c r="M7" s="15" t="n">
        <v>6</v>
      </c>
    </row>
    <row r="8" ht="18" customHeight="1">
      <c r="A8" s="8" t="inlineStr">
        <is>
          <t>Target share of consumption</t>
        </is>
      </c>
      <c r="B8" s="21" t="n">
        <v>0.8</v>
      </c>
      <c r="E8" s="12" t="inlineStr">
        <is>
          <t>Annual output (kWh)</t>
        </is>
      </c>
      <c r="F8" s="13" t="n"/>
      <c r="G8" s="12" t="inlineStr">
        <is>
          <t>Yearly savings (SAR)</t>
        </is>
      </c>
      <c r="H8" s="13" t="n"/>
      <c r="J8" s="9" t="inlineStr">
        <is>
          <t>Madinah</t>
        </is>
      </c>
      <c r="K8" s="14" t="n">
        <v>6.3</v>
      </c>
      <c r="M8" s="15" t="n">
        <v>8</v>
      </c>
    </row>
    <row r="9" ht="34" customHeight="1">
      <c r="A9" s="8" t="inlineStr">
        <is>
          <t>Performance ratio (heat, cables, dust)</t>
        </is>
      </c>
      <c r="B9" s="22" t="n">
        <v>0.8</v>
      </c>
      <c r="E9" s="23">
        <f>$E$47</f>
        <v/>
      </c>
      <c r="F9" s="20" t="n"/>
      <c r="G9" s="23">
        <f>$H$47</f>
        <v/>
      </c>
      <c r="H9" s="20" t="n"/>
      <c r="J9" s="9" t="inlineStr">
        <is>
          <t>Dammam / Khobar</t>
        </is>
      </c>
      <c r="K9" s="14" t="n">
        <v>5.8</v>
      </c>
      <c r="M9" s="15" t="n">
        <v>10</v>
      </c>
    </row>
    <row r="10">
      <c r="A10" s="8" t="inlineStr">
        <is>
          <t>Panel power</t>
        </is>
      </c>
      <c r="B10" s="15" t="n">
        <v>580</v>
      </c>
      <c r="C10" s="24" t="inlineStr">
        <is>
          <t>Wp</t>
        </is>
      </c>
      <c r="J10" s="9" t="inlineStr">
        <is>
          <t>Abha</t>
        </is>
      </c>
      <c r="K10" s="14" t="n">
        <v>5.9</v>
      </c>
      <c r="M10" s="15" t="n">
        <v>12</v>
      </c>
    </row>
    <row r="11" ht="18" customHeight="1">
      <c r="A11" s="8" t="inlineStr">
        <is>
          <t>Panel area</t>
        </is>
      </c>
      <c r="B11" s="22" t="n">
        <v>2.58</v>
      </c>
      <c r="C11" s="24" t="inlineStr">
        <is>
          <t>m²</t>
        </is>
      </c>
      <c r="E11" s="12" t="inlineStr">
        <is>
          <t>Payback (years)</t>
        </is>
      </c>
      <c r="F11" s="13" t="n"/>
      <c r="G11" s="12" t="inlineStr">
        <is>
          <t>Actual coverage</t>
        </is>
      </c>
      <c r="H11" s="13" t="n"/>
      <c r="J11" s="9" t="inlineStr">
        <is>
          <t>Tabuk</t>
        </is>
      </c>
      <c r="K11" s="14" t="n">
        <v>6.2</v>
      </c>
      <c r="M11" s="15" t="n">
        <v>15</v>
      </c>
    </row>
    <row r="12" ht="34" customHeight="1">
      <c r="A12" s="8" t="inlineStr">
        <is>
          <t>Available roof area</t>
        </is>
      </c>
      <c r="B12" s="15" t="n">
        <v>150</v>
      </c>
      <c r="C12" s="24" t="inlineStr">
        <is>
          <t>m²</t>
        </is>
      </c>
      <c r="E12" s="25">
        <f>IF(COUNT(G51:G75)=0,"&gt;25",MIN(G51:G75))</f>
        <v/>
      </c>
      <c r="F12" s="20" t="n"/>
      <c r="G12" s="26">
        <f>IFERROR(MIN($E$47,$B$47)/$B$47,"")</f>
        <v/>
      </c>
      <c r="H12" s="20" t="n"/>
      <c r="J12" s="9" t="inlineStr">
        <is>
          <t>Hail</t>
        </is>
      </c>
      <c r="K12" s="14" t="n">
        <v>6.1</v>
      </c>
      <c r="M12" s="15" t="n">
        <v>20</v>
      </c>
    </row>
    <row r="13">
      <c r="A13" s="8" t="inlineStr">
        <is>
          <t>Inverter DC/AC ratio</t>
        </is>
      </c>
      <c r="B13" s="22" t="n">
        <v>1.2</v>
      </c>
      <c r="J13" s="9" t="inlineStr">
        <is>
          <t>Najran</t>
        </is>
      </c>
      <c r="K13" s="14" t="n">
        <v>6.4</v>
      </c>
      <c r="M13" s="15" t="n">
        <v>25</v>
      </c>
    </row>
    <row r="14" ht="22" customHeight="1">
      <c r="A14" s="5" t="inlineStr">
        <is>
          <t>Tariff and cost</t>
        </is>
      </c>
      <c r="B14" s="6" t="n"/>
      <c r="C14" s="6" t="n"/>
      <c r="E14" s="27" t="inlineStr">
        <is>
          <t>Recommended inverter (kW)</t>
        </is>
      </c>
      <c r="F14" s="28" t="n"/>
      <c r="G14" s="28" t="n"/>
      <c r="H14" s="29">
        <f>IF((MIN(ROUNDUP(SUM($B$35:$B$46)*$B$8/($B$6*365*$B$9)*1000/$B$10,0),ROUNDDOWN($B$12/$B$11,0))*$B$10/1000)/$B$13&lt;=0,0,IF((MIN(ROUNDUP(SUM($B$35:$B$46)*$B$8/($B$6*365*$B$9)*1000/$B$10,0),ROUNDDOWN($B$12/$B$11,0))*$B$10/1000)/$B$13&gt;MAX($M$5:$M$22),"—",INDEX($M$5:$M$22,COUNTIF($M$5:$M$22,"&lt;"&amp;(MIN(ROUNDUP(SUM($B$35:$B$46)*$B$8/($B$6*365*$B$9)*1000/$B$10,0),ROUNDDOWN($B$12/$B$11,0))*$B$10/1000)/$B$13)+1)))</f>
        <v/>
      </c>
      <c r="J14" s="9" t="inlineStr">
        <is>
          <t>Jazan</t>
        </is>
      </c>
      <c r="K14" s="14" t="n">
        <v>5.9</v>
      </c>
      <c r="M14" s="15" t="n">
        <v>30</v>
      </c>
    </row>
    <row r="15">
      <c r="A15" s="8" t="inlineStr">
        <is>
          <t>Tier 1 limit per month</t>
        </is>
      </c>
      <c r="B15" s="30" t="n">
        <v>6000</v>
      </c>
      <c r="C15" s="24" t="inlineStr">
        <is>
          <t>kWh</t>
        </is>
      </c>
      <c r="E15" s="27" t="inlineStr">
        <is>
          <t>Panel area needed (m²)</t>
        </is>
      </c>
      <c r="F15" s="28" t="n"/>
      <c r="G15" s="28" t="n"/>
      <c r="H15" s="29">
        <f>MIN(ROUNDUP(SUM($B$35:$B$46)*$B$8/($B$6*365*$B$9)*1000/$B$10,0),ROUNDDOWN($B$12/$B$11,0))*$B$11</f>
        <v/>
      </c>
      <c r="J15" s="9" t="inlineStr">
        <is>
          <t>Dubai</t>
        </is>
      </c>
      <c r="K15" s="14" t="n">
        <v>5.7</v>
      </c>
      <c r="M15" s="15" t="n">
        <v>40</v>
      </c>
    </row>
    <row r="16">
      <c r="A16" s="8" t="inlineStr">
        <is>
          <t>Tier 1 rate</t>
        </is>
      </c>
      <c r="B16" s="22" t="n">
        <v>0.18</v>
      </c>
      <c r="C16" s="24" t="inlineStr">
        <is>
          <t>per kWh</t>
        </is>
      </c>
      <c r="E16" s="27" t="inlineStr">
        <is>
          <t>Roof check</t>
        </is>
      </c>
      <c r="F16" s="28" t="n"/>
      <c r="G16" s="28" t="n"/>
      <c r="H16" s="31">
        <f>IF(ROUNDUP(SUM($B$35:$B$46)*$B$8/($B$6*365*$B$9)*1000/$B$10,0)&gt;ROUNDDOWN($B$12/$B$11,0),"Roof limits the plant","Fits")</f>
        <v/>
      </c>
      <c r="J16" s="9" t="inlineStr">
        <is>
          <t>Abu Dhabi</t>
        </is>
      </c>
      <c r="K16" s="14" t="n">
        <v>5.8</v>
      </c>
      <c r="M16" s="15" t="n">
        <v>50</v>
      </c>
    </row>
    <row r="17">
      <c r="A17" s="8" t="inlineStr">
        <is>
          <t>Tier 2 rate</t>
        </is>
      </c>
      <c r="B17" s="22" t="n">
        <v>0.3</v>
      </c>
      <c r="C17" s="24" t="inlineStr">
        <is>
          <t>per kWh</t>
        </is>
      </c>
      <c r="E17" s="27" t="inlineStr">
        <is>
          <t>Battery capacity (kWh)</t>
        </is>
      </c>
      <c r="F17" s="28" t="n"/>
      <c r="G17" s="28" t="n"/>
      <c r="H17" s="32">
        <f>IF(OR($B$7="ربط بالشبكة (قياس صافٍ)",$B$7="Grid-tied (net metering)"),0,SUM($B$35:$B$46)/365*$B$21/24/0.9)</f>
        <v/>
      </c>
      <c r="J17" s="9" t="inlineStr">
        <is>
          <t>Kuwait City</t>
        </is>
      </c>
      <c r="K17" s="14" t="n">
        <v>5.5</v>
      </c>
      <c r="M17" s="15" t="n">
        <v>60</v>
      </c>
    </row>
    <row r="18">
      <c r="A18" s="8" t="inlineStr">
        <is>
          <t>Export credit rate</t>
        </is>
      </c>
      <c r="B18" s="22" t="n">
        <v>0.1</v>
      </c>
      <c r="C18" s="24" t="inlineStr">
        <is>
          <t>per kWh</t>
        </is>
      </c>
      <c r="E18" s="27" t="inlineStr">
        <is>
          <t>Total cost (SAR)</t>
        </is>
      </c>
      <c r="F18" s="28" t="n"/>
      <c r="G18" s="28" t="n"/>
      <c r="H18" s="33">
        <f>((MIN(ROUNDUP(SUM($B$35:$B$46)*$B$8/($B$6*365*$B$9)*1000/$B$10,0),ROUNDDOWN($B$12/$B$11,0))*$B$10/1000)*$B$19+IF(OR($B$7="ربط بالشبكة (قياس صافٍ)",$B$7="Grid-tied (net metering)"),0,SUM($B$35:$B$46)/365*$B$21/24/0.9)*$B$20)</f>
        <v/>
      </c>
      <c r="J18" s="9" t="inlineStr">
        <is>
          <t>Doha</t>
        </is>
      </c>
      <c r="K18" s="14" t="n">
        <v>5.7</v>
      </c>
      <c r="M18" s="15" t="n">
        <v>80</v>
      </c>
    </row>
    <row r="19">
      <c r="A19" s="8" t="inlineStr">
        <is>
          <t>Installed cost per kWp</t>
        </is>
      </c>
      <c r="B19" s="30" t="n">
        <v>3000</v>
      </c>
      <c r="C19" s="24" t="inlineStr">
        <is>
          <t>SAR</t>
        </is>
      </c>
      <c r="E19" s="27" t="inlineStr">
        <is>
          <t>Yield per kWp (kWh/yr)</t>
        </is>
      </c>
      <c r="F19" s="28" t="n"/>
      <c r="G19" s="28" t="n"/>
      <c r="H19" s="33">
        <f>IFERROR($E$47/(MIN(ROUNDUP(SUM($B$35:$B$46)*$B$8/($B$6*365*$B$9)*1000/$B$10,0),ROUNDDOWN($B$12/$B$11,0))*$B$10/1000),"")</f>
        <v/>
      </c>
      <c r="J19" s="9" t="inlineStr">
        <is>
          <t>Muscat</t>
        </is>
      </c>
      <c r="K19" s="14" t="n">
        <v>5.9</v>
      </c>
      <c r="M19" s="15" t="n">
        <v>100</v>
      </c>
    </row>
    <row r="20">
      <c r="A20" s="8" t="inlineStr">
        <is>
          <t>Battery cost per kWh</t>
        </is>
      </c>
      <c r="B20" s="30" t="n">
        <v>2000</v>
      </c>
      <c r="C20" s="24" t="inlineStr">
        <is>
          <t>SAR</t>
        </is>
      </c>
      <c r="E20" s="27" t="inlineStr">
        <is>
          <t>CO₂ avoided (t/yr)</t>
        </is>
      </c>
      <c r="F20" s="28" t="n"/>
      <c r="G20" s="28" t="n"/>
      <c r="H20" s="32">
        <f>$E$47*$B$25/1000</f>
        <v/>
      </c>
      <c r="J20" s="9" t="inlineStr">
        <is>
          <t>Manama</t>
        </is>
      </c>
      <c r="K20" s="14" t="n">
        <v>5.6</v>
      </c>
      <c r="M20" s="15" t="n">
        <v>150</v>
      </c>
    </row>
    <row r="21">
      <c r="A21" s="8" t="inlineStr">
        <is>
          <t>Battery autonomy</t>
        </is>
      </c>
      <c r="B21" s="15" t="n">
        <v>6</v>
      </c>
      <c r="C21" s="24" t="inlineStr">
        <is>
          <t>h</t>
        </is>
      </c>
      <c r="E21" s="27" t="inlineStr">
        <is>
          <t>Cost per kWh over 25 years</t>
        </is>
      </c>
      <c r="F21" s="28" t="n"/>
      <c r="G21" s="28" t="n"/>
      <c r="H21" s="34">
        <f>IFERROR(($H$18+SUM(D51:D75))/SUM(B51:B75),"")</f>
        <v/>
      </c>
      <c r="J21" s="9" t="inlineStr">
        <is>
          <t>Cairo</t>
        </is>
      </c>
      <c r="K21" s="14" t="n">
        <v>5.9</v>
      </c>
      <c r="M21" s="15" t="n">
        <v>200</v>
      </c>
    </row>
    <row r="22">
      <c r="A22" s="8" t="inlineStr">
        <is>
          <t>Panel degradation per year</t>
        </is>
      </c>
      <c r="B22" s="35" t="n">
        <v>0.005</v>
      </c>
      <c r="J22" s="9" t="inlineStr">
        <is>
          <t>Amman</t>
        </is>
      </c>
      <c r="K22" s="14" t="n">
        <v>5.7</v>
      </c>
      <c r="M22" s="15" t="n">
        <v>250</v>
      </c>
    </row>
    <row r="23">
      <c r="A23" s="8" t="inlineStr">
        <is>
          <t>Tariff escalation per year</t>
        </is>
      </c>
      <c r="B23" s="35" t="n">
        <v>0</v>
      </c>
      <c r="J23" s="9" t="inlineStr">
        <is>
          <t>Baghdad</t>
        </is>
      </c>
      <c r="K23" s="14" t="n">
        <v>5.5</v>
      </c>
    </row>
    <row r="24">
      <c r="A24" s="8" t="inlineStr">
        <is>
          <t>O&amp;M per year (% of cost)</t>
        </is>
      </c>
      <c r="B24" s="35" t="n">
        <v>0.01</v>
      </c>
      <c r="J24" s="9" t="inlineStr">
        <is>
          <t>Khartoum</t>
        </is>
      </c>
      <c r="K24" s="14" t="n">
        <v>6.2</v>
      </c>
    </row>
    <row r="25">
      <c r="A25" s="8" t="inlineStr">
        <is>
          <t>Grid emissions (kg CO₂/kWh)</t>
        </is>
      </c>
      <c r="B25" s="22" t="n">
        <v>0.6</v>
      </c>
      <c r="J25" s="9" t="inlineStr">
        <is>
          <t>Tunis</t>
        </is>
      </c>
      <c r="K25" s="14" t="n">
        <v>5.3</v>
      </c>
    </row>
    <row r="26">
      <c r="J26" s="9" t="inlineStr">
        <is>
          <t>Casablanca</t>
        </is>
      </c>
      <c r="K26" s="14" t="n">
        <v>5</v>
      </c>
    </row>
    <row r="33" ht="22" customHeight="1">
      <c r="A33" s="5" t="inlineStr">
        <is>
          <t>Monthly consumption and production</t>
        </is>
      </c>
      <c r="B33" s="6" t="n"/>
      <c r="C33" s="6" t="n"/>
      <c r="D33" s="6" t="n"/>
      <c r="E33" s="6" t="n"/>
      <c r="F33" s="6" t="n"/>
      <c r="G33" s="6" t="n"/>
      <c r="H33" s="6" t="n"/>
    </row>
    <row r="34" ht="34" customHeight="1">
      <c r="A34" s="7" t="inlineStr">
        <is>
          <t>Month</t>
        </is>
      </c>
      <c r="B34" s="7" t="inlineStr">
        <is>
          <t>Use kWh</t>
        </is>
      </c>
      <c r="C34" s="7" t="inlineStr">
        <is>
          <t>Days</t>
        </is>
      </c>
      <c r="D34" s="7" t="inlineStr">
        <is>
          <t>Season idx</t>
        </is>
      </c>
      <c r="E34" s="7" t="inlineStr">
        <is>
          <t>PV output kWh</t>
        </is>
      </c>
      <c r="F34" s="7" t="inlineStr">
        <is>
          <t>Bill before</t>
        </is>
      </c>
      <c r="G34" s="7" t="inlineStr">
        <is>
          <t>Bill after</t>
        </is>
      </c>
      <c r="H34" s="7" t="inlineStr">
        <is>
          <t>Savings</t>
        </is>
      </c>
    </row>
    <row r="35">
      <c r="A35" s="8" t="inlineStr">
        <is>
          <t>Jan</t>
        </is>
      </c>
      <c r="B35" s="30" t="n">
        <v>1800</v>
      </c>
      <c r="C35" s="36" t="n">
        <v>31</v>
      </c>
      <c r="D35" s="22" t="n">
        <v>0.72</v>
      </c>
      <c r="E35" s="37">
        <f>(MIN(ROUNDUP(SUM($B$35:$B$46)*$B$8/($B$6*365*$B$9)*1000/$B$10,0),ROUNDDOWN($B$12/$B$11,0))*$B$10/1000)*$B$6*D35/(SUMPRODUCT($C$35:$C$46,$D$35:$D$46)/365)*C35*$B$9</f>
        <v/>
      </c>
      <c r="F35" s="37">
        <f>MIN(B35,$B$15)*$B$16+MAX(0,B35-$B$15)*$B$17</f>
        <v/>
      </c>
      <c r="G35" s="37">
        <f>MIN(MAX(0,B35-E35),$B$15)*$B$16+MAX(0,MAX(0,B35-E35)-$B$15)*$B$17</f>
        <v/>
      </c>
      <c r="H35" s="33">
        <f>F35-G35+MAX(0,E35-B35)*$B$18</f>
        <v/>
      </c>
    </row>
    <row r="36">
      <c r="A36" s="8" t="inlineStr">
        <is>
          <t>Feb</t>
        </is>
      </c>
      <c r="B36" s="30" t="n">
        <v>1700</v>
      </c>
      <c r="C36" s="36" t="n">
        <v>28</v>
      </c>
      <c r="D36" s="22" t="n">
        <v>0.82</v>
      </c>
      <c r="E36" s="37">
        <f>(MIN(ROUNDUP(SUM($B$35:$B$46)*$B$8/($B$6*365*$B$9)*1000/$B$10,0),ROUNDDOWN($B$12/$B$11,0))*$B$10/1000)*$B$6*D36/(SUMPRODUCT($C$35:$C$46,$D$35:$D$46)/365)*C36*$B$9</f>
        <v/>
      </c>
      <c r="F36" s="37">
        <f>MIN(B36,$B$15)*$B$16+MAX(0,B36-$B$15)*$B$17</f>
        <v/>
      </c>
      <c r="G36" s="37">
        <f>MIN(MAX(0,B36-E36),$B$15)*$B$16+MAX(0,MAX(0,B36-E36)-$B$15)*$B$17</f>
        <v/>
      </c>
      <c r="H36" s="33">
        <f>F36-G36+MAX(0,E36-B36)*$B$18</f>
        <v/>
      </c>
    </row>
    <row r="37">
      <c r="A37" s="8" t="inlineStr">
        <is>
          <t>Mar</t>
        </is>
      </c>
      <c r="B37" s="30" t="n">
        <v>2200</v>
      </c>
      <c r="C37" s="36" t="n">
        <v>31</v>
      </c>
      <c r="D37" s="22" t="n">
        <v>0.98</v>
      </c>
      <c r="E37" s="37">
        <f>(MIN(ROUNDUP(SUM($B$35:$B$46)*$B$8/($B$6*365*$B$9)*1000/$B$10,0),ROUNDDOWN($B$12/$B$11,0))*$B$10/1000)*$B$6*D37/(SUMPRODUCT($C$35:$C$46,$D$35:$D$46)/365)*C37*$B$9</f>
        <v/>
      </c>
      <c r="F37" s="37">
        <f>MIN(B37,$B$15)*$B$16+MAX(0,B37-$B$15)*$B$17</f>
        <v/>
      </c>
      <c r="G37" s="37">
        <f>MIN(MAX(0,B37-E37),$B$15)*$B$16+MAX(0,MAX(0,B37-E37)-$B$15)*$B$17</f>
        <v/>
      </c>
      <c r="H37" s="33">
        <f>F37-G37+MAX(0,E37-B37)*$B$18</f>
        <v/>
      </c>
    </row>
    <row r="38">
      <c r="A38" s="8" t="inlineStr">
        <is>
          <t>Apr</t>
        </is>
      </c>
      <c r="B38" s="30" t="n">
        <v>3200</v>
      </c>
      <c r="C38" s="36" t="n">
        <v>30</v>
      </c>
      <c r="D38" s="22" t="n">
        <v>1.08</v>
      </c>
      <c r="E38" s="37">
        <f>(MIN(ROUNDUP(SUM($B$35:$B$46)*$B$8/($B$6*365*$B$9)*1000/$B$10,0),ROUNDDOWN($B$12/$B$11,0))*$B$10/1000)*$B$6*D38/(SUMPRODUCT($C$35:$C$46,$D$35:$D$46)/365)*C38*$B$9</f>
        <v/>
      </c>
      <c r="F38" s="37">
        <f>MIN(B38,$B$15)*$B$16+MAX(0,B38-$B$15)*$B$17</f>
        <v/>
      </c>
      <c r="G38" s="37">
        <f>MIN(MAX(0,B38-E38),$B$15)*$B$16+MAX(0,MAX(0,B38-E38)-$B$15)*$B$17</f>
        <v/>
      </c>
      <c r="H38" s="33">
        <f>F38-G38+MAX(0,E38-B38)*$B$18</f>
        <v/>
      </c>
    </row>
    <row r="39">
      <c r="A39" s="8" t="inlineStr">
        <is>
          <t>May</t>
        </is>
      </c>
      <c r="B39" s="30" t="n">
        <v>4600</v>
      </c>
      <c r="C39" s="36" t="n">
        <v>31</v>
      </c>
      <c r="D39" s="22" t="n">
        <v>1.18</v>
      </c>
      <c r="E39" s="37">
        <f>(MIN(ROUNDUP(SUM($B$35:$B$46)*$B$8/($B$6*365*$B$9)*1000/$B$10,0),ROUNDDOWN($B$12/$B$11,0))*$B$10/1000)*$B$6*D39/(SUMPRODUCT($C$35:$C$46,$D$35:$D$46)/365)*C39*$B$9</f>
        <v/>
      </c>
      <c r="F39" s="37">
        <f>MIN(B39,$B$15)*$B$16+MAX(0,B39-$B$15)*$B$17</f>
        <v/>
      </c>
      <c r="G39" s="37">
        <f>MIN(MAX(0,B39-E39),$B$15)*$B$16+MAX(0,MAX(0,B39-E39)-$B$15)*$B$17</f>
        <v/>
      </c>
      <c r="H39" s="33">
        <f>F39-G39+MAX(0,E39-B39)*$B$18</f>
        <v/>
      </c>
      <c r="J39" s="7" t="inlineStr">
        <is>
          <t>System types</t>
        </is>
      </c>
    </row>
    <row r="40">
      <c r="A40" s="8" t="inlineStr">
        <is>
          <t>Jun</t>
        </is>
      </c>
      <c r="B40" s="30" t="n">
        <v>6400</v>
      </c>
      <c r="C40" s="36" t="n">
        <v>30</v>
      </c>
      <c r="D40" s="22" t="n">
        <v>1.22</v>
      </c>
      <c r="E40" s="37">
        <f>(MIN(ROUNDUP(SUM($B$35:$B$46)*$B$8/($B$6*365*$B$9)*1000/$B$10,0),ROUNDDOWN($B$12/$B$11,0))*$B$10/1000)*$B$6*D40/(SUMPRODUCT($C$35:$C$46,$D$35:$D$46)/365)*C40*$B$9</f>
        <v/>
      </c>
      <c r="F40" s="37">
        <f>MIN(B40,$B$15)*$B$16+MAX(0,B40-$B$15)*$B$17</f>
        <v/>
      </c>
      <c r="G40" s="37">
        <f>MIN(MAX(0,B40-E40),$B$15)*$B$16+MAX(0,MAX(0,B40-E40)-$B$15)*$B$17</f>
        <v/>
      </c>
      <c r="H40" s="33">
        <f>F40-G40+MAX(0,E40-B40)*$B$18</f>
        <v/>
      </c>
      <c r="J40" s="9" t="inlineStr">
        <is>
          <t>Grid-tied (net metering)</t>
        </is>
      </c>
    </row>
    <row r="41">
      <c r="A41" s="8" t="inlineStr">
        <is>
          <t>Jul</t>
        </is>
      </c>
      <c r="B41" s="30" t="n">
        <v>7000</v>
      </c>
      <c r="C41" s="36" t="n">
        <v>31</v>
      </c>
      <c r="D41" s="22" t="n">
        <v>1.18</v>
      </c>
      <c r="E41" s="37">
        <f>(MIN(ROUNDUP(SUM($B$35:$B$46)*$B$8/($B$6*365*$B$9)*1000/$B$10,0),ROUNDDOWN($B$12/$B$11,0))*$B$10/1000)*$B$6*D41/(SUMPRODUCT($C$35:$C$46,$D$35:$D$46)/365)*C41*$B$9</f>
        <v/>
      </c>
      <c r="F41" s="37">
        <f>MIN(B41,$B$15)*$B$16+MAX(0,B41-$B$15)*$B$17</f>
        <v/>
      </c>
      <c r="G41" s="37">
        <f>MIN(MAX(0,B41-E41),$B$15)*$B$16+MAX(0,MAX(0,B41-E41)-$B$15)*$B$17</f>
        <v/>
      </c>
      <c r="H41" s="33">
        <f>F41-G41+MAX(0,E41-B41)*$B$18</f>
        <v/>
      </c>
      <c r="J41" s="9" t="inlineStr">
        <is>
          <t>Hybrid with batteries</t>
        </is>
      </c>
    </row>
    <row r="42">
      <c r="A42" s="8" t="inlineStr">
        <is>
          <t>Aug</t>
        </is>
      </c>
      <c r="B42" s="30" t="n">
        <v>7000</v>
      </c>
      <c r="C42" s="36" t="n">
        <v>31</v>
      </c>
      <c r="D42" s="22" t="n">
        <v>1.15</v>
      </c>
      <c r="E42" s="37">
        <f>(MIN(ROUNDUP(SUM($B$35:$B$46)*$B$8/($B$6*365*$B$9)*1000/$B$10,0),ROUNDDOWN($B$12/$B$11,0))*$B$10/1000)*$B$6*D42/(SUMPRODUCT($C$35:$C$46,$D$35:$D$46)/365)*C42*$B$9</f>
        <v/>
      </c>
      <c r="F42" s="37">
        <f>MIN(B42,$B$15)*$B$16+MAX(0,B42-$B$15)*$B$17</f>
        <v/>
      </c>
      <c r="G42" s="37">
        <f>MIN(MAX(0,B42-E42),$B$15)*$B$16+MAX(0,MAX(0,B42-E42)-$B$15)*$B$17</f>
        <v/>
      </c>
      <c r="H42" s="33">
        <f>F42-G42+MAX(0,E42-B42)*$B$18</f>
        <v/>
      </c>
      <c r="J42" s="9" t="inlineStr">
        <is>
          <t>Off-grid</t>
        </is>
      </c>
    </row>
    <row r="43">
      <c r="A43" s="8" t="inlineStr">
        <is>
          <t>Sep</t>
        </is>
      </c>
      <c r="B43" s="30" t="n">
        <v>5800</v>
      </c>
      <c r="C43" s="36" t="n">
        <v>30</v>
      </c>
      <c r="D43" s="22" t="n">
        <v>1.07</v>
      </c>
      <c r="E43" s="37">
        <f>(MIN(ROUNDUP(SUM($B$35:$B$46)*$B$8/($B$6*365*$B$9)*1000/$B$10,0),ROUNDDOWN($B$12/$B$11,0))*$B$10/1000)*$B$6*D43/(SUMPRODUCT($C$35:$C$46,$D$35:$D$46)/365)*C43*$B$9</f>
        <v/>
      </c>
      <c r="F43" s="37">
        <f>MIN(B43,$B$15)*$B$16+MAX(0,B43-$B$15)*$B$17</f>
        <v/>
      </c>
      <c r="G43" s="37">
        <f>MIN(MAX(0,B43-E43),$B$15)*$B$16+MAX(0,MAX(0,B43-E43)-$B$15)*$B$17</f>
        <v/>
      </c>
      <c r="H43" s="33">
        <f>F43-G43+MAX(0,E43-B43)*$B$18</f>
        <v/>
      </c>
    </row>
    <row r="44">
      <c r="A44" s="8" t="inlineStr">
        <is>
          <t>Oct</t>
        </is>
      </c>
      <c r="B44" s="30" t="n">
        <v>3800</v>
      </c>
      <c r="C44" s="36" t="n">
        <v>31</v>
      </c>
      <c r="D44" s="22" t="n">
        <v>0.95</v>
      </c>
      <c r="E44" s="37">
        <f>(MIN(ROUNDUP(SUM($B$35:$B$46)*$B$8/($B$6*365*$B$9)*1000/$B$10,0),ROUNDDOWN($B$12/$B$11,0))*$B$10/1000)*$B$6*D44/(SUMPRODUCT($C$35:$C$46,$D$35:$D$46)/365)*C44*$B$9</f>
        <v/>
      </c>
      <c r="F44" s="37">
        <f>MIN(B44,$B$15)*$B$16+MAX(0,B44-$B$15)*$B$17</f>
        <v/>
      </c>
      <c r="G44" s="37">
        <f>MIN(MAX(0,B44-E44),$B$15)*$B$16+MAX(0,MAX(0,B44-E44)-$B$15)*$B$17</f>
        <v/>
      </c>
      <c r="H44" s="33">
        <f>F44-G44+MAX(0,E44-B44)*$B$18</f>
        <v/>
      </c>
    </row>
    <row r="45">
      <c r="A45" s="8" t="inlineStr">
        <is>
          <t>Nov</t>
        </is>
      </c>
      <c r="B45" s="30" t="n">
        <v>2300</v>
      </c>
      <c r="C45" s="36" t="n">
        <v>30</v>
      </c>
      <c r="D45" s="22" t="n">
        <v>0.78</v>
      </c>
      <c r="E45" s="37">
        <f>(MIN(ROUNDUP(SUM($B$35:$B$46)*$B$8/($B$6*365*$B$9)*1000/$B$10,0),ROUNDDOWN($B$12/$B$11,0))*$B$10/1000)*$B$6*D45/(SUMPRODUCT($C$35:$C$46,$D$35:$D$46)/365)*C45*$B$9</f>
        <v/>
      </c>
      <c r="F45" s="37">
        <f>MIN(B45,$B$15)*$B$16+MAX(0,B45-$B$15)*$B$17</f>
        <v/>
      </c>
      <c r="G45" s="37">
        <f>MIN(MAX(0,B45-E45),$B$15)*$B$16+MAX(0,MAX(0,B45-E45)-$B$15)*$B$17</f>
        <v/>
      </c>
      <c r="H45" s="33">
        <f>F45-G45+MAX(0,E45-B45)*$B$18</f>
        <v/>
      </c>
    </row>
    <row r="46">
      <c r="A46" s="8" t="inlineStr">
        <is>
          <t>Dec</t>
        </is>
      </c>
      <c r="B46" s="30" t="n">
        <v>1800</v>
      </c>
      <c r="C46" s="36" t="n">
        <v>31</v>
      </c>
      <c r="D46" s="22" t="n">
        <v>0.67</v>
      </c>
      <c r="E46" s="37">
        <f>(MIN(ROUNDUP(SUM($B$35:$B$46)*$B$8/($B$6*365*$B$9)*1000/$B$10,0),ROUNDDOWN($B$12/$B$11,0))*$B$10/1000)*$B$6*D46/(SUMPRODUCT($C$35:$C$46,$D$35:$D$46)/365)*C46*$B$9</f>
        <v/>
      </c>
      <c r="F46" s="37">
        <f>MIN(B46,$B$15)*$B$16+MAX(0,B46-$B$15)*$B$17</f>
        <v/>
      </c>
      <c r="G46" s="37">
        <f>MIN(MAX(0,B46-E46),$B$15)*$B$16+MAX(0,MAX(0,B46-E46)-$B$15)*$B$17</f>
        <v/>
      </c>
      <c r="H46" s="33">
        <f>F46-G46+MAX(0,E46-B46)*$B$18</f>
        <v/>
      </c>
    </row>
    <row r="47">
      <c r="A47" s="38" t="inlineStr">
        <is>
          <t>Total</t>
        </is>
      </c>
      <c r="B47" s="39">
        <f>SUM(B35:B46)</f>
        <v/>
      </c>
      <c r="C47" s="40" t="inlineStr"/>
      <c r="D47" s="40" t="inlineStr"/>
      <c r="E47" s="39">
        <f>SUM(E35:E46)</f>
        <v/>
      </c>
      <c r="F47" s="39">
        <f>SUM(F35:F46)</f>
        <v/>
      </c>
      <c r="G47" s="39">
        <f>SUM(G35:G46)</f>
        <v/>
      </c>
      <c r="H47" s="39">
        <f>SUM(H35:H46)</f>
        <v/>
      </c>
    </row>
    <row r="49" ht="22" customHeight="1">
      <c r="A49" s="5" t="inlineStr">
        <is>
          <t>25-year cash flow</t>
        </is>
      </c>
      <c r="B49" s="6" t="n"/>
      <c r="C49" s="6" t="n"/>
      <c r="D49" s="6" t="n"/>
      <c r="E49" s="6" t="n"/>
      <c r="F49" s="6" t="n"/>
      <c r="G49" s="6" t="n"/>
      <c r="H49" s="6" t="n"/>
    </row>
    <row r="50" ht="32" customHeight="1">
      <c r="A50" s="7" t="inlineStr">
        <is>
          <t>Year</t>
        </is>
      </c>
      <c r="B50" s="7" t="inlineStr">
        <is>
          <t>Output kWh</t>
        </is>
      </c>
      <c r="C50" s="7" t="inlineStr">
        <is>
          <t>Savings</t>
        </is>
      </c>
      <c r="D50" s="7" t="inlineStr">
        <is>
          <t>O&amp;M</t>
        </is>
      </c>
      <c r="E50" s="7" t="inlineStr">
        <is>
          <t>Net</t>
        </is>
      </c>
      <c r="F50" s="7" t="inlineStr">
        <is>
          <t>Cumulative</t>
        </is>
      </c>
      <c r="G50" s="7" t="inlineStr">
        <is>
          <t>Payback</t>
        </is>
      </c>
      <c r="H50" s="7" t="inlineStr"/>
    </row>
    <row r="51">
      <c r="A51" s="41" t="n">
        <v>1</v>
      </c>
      <c r="B51" s="37">
        <f>$E$47*(1-$B$22)^(A51-1)</f>
        <v/>
      </c>
      <c r="C51" s="37">
        <f>$H$47*(B51/$E$47)*(1+$B$23)^(A51-1)</f>
        <v/>
      </c>
      <c r="D51" s="37">
        <f>$H$18*$B$24</f>
        <v/>
      </c>
      <c r="E51" s="37">
        <f>C51-D51</f>
        <v/>
      </c>
      <c r="F51" s="37">
        <f>(-$H$18)+E51</f>
        <v/>
      </c>
      <c r="G51" s="16">
        <f>IF(AND((-$H$18)&lt;0,F51&gt;=0),A51-1+(-(-$H$18))/E51,"")</f>
        <v/>
      </c>
      <c r="H51" s="42" t="inlineStr"/>
    </row>
    <row r="52">
      <c r="A52" s="41" t="n">
        <v>2</v>
      </c>
      <c r="B52" s="37">
        <f>$E$47*(1-$B$22)^(A52-1)</f>
        <v/>
      </c>
      <c r="C52" s="37">
        <f>$H$47*(B52/$E$47)*(1+$B$23)^(A52-1)</f>
        <v/>
      </c>
      <c r="D52" s="37">
        <f>$H$18*$B$24</f>
        <v/>
      </c>
      <c r="E52" s="37">
        <f>C52-D52</f>
        <v/>
      </c>
      <c r="F52" s="37">
        <f>F51+E52</f>
        <v/>
      </c>
      <c r="G52" s="16">
        <f>IF(AND(F51&lt;0,F52&gt;=0),A52-1+(-F51)/E52,"")</f>
        <v/>
      </c>
      <c r="H52" s="42" t="inlineStr"/>
    </row>
    <row r="53">
      <c r="A53" s="41" t="n">
        <v>3</v>
      </c>
      <c r="B53" s="37">
        <f>$E$47*(1-$B$22)^(A53-1)</f>
        <v/>
      </c>
      <c r="C53" s="37">
        <f>$H$47*(B53/$E$47)*(1+$B$23)^(A53-1)</f>
        <v/>
      </c>
      <c r="D53" s="37">
        <f>$H$18*$B$24</f>
        <v/>
      </c>
      <c r="E53" s="37">
        <f>C53-D53</f>
        <v/>
      </c>
      <c r="F53" s="37">
        <f>F52+E53</f>
        <v/>
      </c>
      <c r="G53" s="16">
        <f>IF(AND(F52&lt;0,F53&gt;=0),A53-1+(-F52)/E53,"")</f>
        <v/>
      </c>
      <c r="H53" s="42" t="inlineStr"/>
    </row>
    <row r="54">
      <c r="A54" s="41" t="n">
        <v>4</v>
      </c>
      <c r="B54" s="37">
        <f>$E$47*(1-$B$22)^(A54-1)</f>
        <v/>
      </c>
      <c r="C54" s="37">
        <f>$H$47*(B54/$E$47)*(1+$B$23)^(A54-1)</f>
        <v/>
      </c>
      <c r="D54" s="37">
        <f>$H$18*$B$24</f>
        <v/>
      </c>
      <c r="E54" s="37">
        <f>C54-D54</f>
        <v/>
      </c>
      <c r="F54" s="37">
        <f>F53+E54</f>
        <v/>
      </c>
      <c r="G54" s="16">
        <f>IF(AND(F53&lt;0,F54&gt;=0),A54-1+(-F53)/E54,"")</f>
        <v/>
      </c>
      <c r="H54" s="42" t="inlineStr"/>
    </row>
    <row r="55">
      <c r="A55" s="41" t="n">
        <v>5</v>
      </c>
      <c r="B55" s="37">
        <f>$E$47*(1-$B$22)^(A55-1)</f>
        <v/>
      </c>
      <c r="C55" s="37">
        <f>$H$47*(B55/$E$47)*(1+$B$23)^(A55-1)</f>
        <v/>
      </c>
      <c r="D55" s="37">
        <f>$H$18*$B$24</f>
        <v/>
      </c>
      <c r="E55" s="37">
        <f>C55-D55</f>
        <v/>
      </c>
      <c r="F55" s="37">
        <f>F54+E55</f>
        <v/>
      </c>
      <c r="G55" s="16">
        <f>IF(AND(F54&lt;0,F55&gt;=0),A55-1+(-F54)/E55,"")</f>
        <v/>
      </c>
      <c r="H55" s="42" t="inlineStr"/>
    </row>
    <row r="56">
      <c r="A56" s="41" t="n">
        <v>6</v>
      </c>
      <c r="B56" s="37">
        <f>$E$47*(1-$B$22)^(A56-1)</f>
        <v/>
      </c>
      <c r="C56" s="37">
        <f>$H$47*(B56/$E$47)*(1+$B$23)^(A56-1)</f>
        <v/>
      </c>
      <c r="D56" s="37">
        <f>$H$18*$B$24</f>
        <v/>
      </c>
      <c r="E56" s="37">
        <f>C56-D56</f>
        <v/>
      </c>
      <c r="F56" s="37">
        <f>F55+E56</f>
        <v/>
      </c>
      <c r="G56" s="16">
        <f>IF(AND(F55&lt;0,F56&gt;=0),A56-1+(-F55)/E56,"")</f>
        <v/>
      </c>
      <c r="H56" s="42" t="inlineStr"/>
    </row>
    <row r="57">
      <c r="A57" s="41" t="n">
        <v>7</v>
      </c>
      <c r="B57" s="37">
        <f>$E$47*(1-$B$22)^(A57-1)</f>
        <v/>
      </c>
      <c r="C57" s="37">
        <f>$H$47*(B57/$E$47)*(1+$B$23)^(A57-1)</f>
        <v/>
      </c>
      <c r="D57" s="37">
        <f>$H$18*$B$24</f>
        <v/>
      </c>
      <c r="E57" s="37">
        <f>C57-D57</f>
        <v/>
      </c>
      <c r="F57" s="37">
        <f>F56+E57</f>
        <v/>
      </c>
      <c r="G57" s="16">
        <f>IF(AND(F56&lt;0,F57&gt;=0),A57-1+(-F56)/E57,"")</f>
        <v/>
      </c>
      <c r="H57" s="42" t="inlineStr"/>
    </row>
    <row r="58">
      <c r="A58" s="41" t="n">
        <v>8</v>
      </c>
      <c r="B58" s="37">
        <f>$E$47*(1-$B$22)^(A58-1)</f>
        <v/>
      </c>
      <c r="C58" s="37">
        <f>$H$47*(B58/$E$47)*(1+$B$23)^(A58-1)</f>
        <v/>
      </c>
      <c r="D58" s="37">
        <f>$H$18*$B$24</f>
        <v/>
      </c>
      <c r="E58" s="37">
        <f>C58-D58</f>
        <v/>
      </c>
      <c r="F58" s="37">
        <f>F57+E58</f>
        <v/>
      </c>
      <c r="G58" s="16">
        <f>IF(AND(F57&lt;0,F58&gt;=0),A58-1+(-F57)/E58,"")</f>
        <v/>
      </c>
      <c r="H58" s="42" t="inlineStr"/>
    </row>
    <row r="59">
      <c r="A59" s="41" t="n">
        <v>9</v>
      </c>
      <c r="B59" s="37">
        <f>$E$47*(1-$B$22)^(A59-1)</f>
        <v/>
      </c>
      <c r="C59" s="37">
        <f>$H$47*(B59/$E$47)*(1+$B$23)^(A59-1)</f>
        <v/>
      </c>
      <c r="D59" s="37">
        <f>$H$18*$B$24</f>
        <v/>
      </c>
      <c r="E59" s="37">
        <f>C59-D59</f>
        <v/>
      </c>
      <c r="F59" s="37">
        <f>F58+E59</f>
        <v/>
      </c>
      <c r="G59" s="16">
        <f>IF(AND(F58&lt;0,F59&gt;=0),A59-1+(-F58)/E59,"")</f>
        <v/>
      </c>
      <c r="H59" s="42" t="inlineStr"/>
    </row>
    <row r="60">
      <c r="A60" s="41" t="n">
        <v>10</v>
      </c>
      <c r="B60" s="37">
        <f>$E$47*(1-$B$22)^(A60-1)</f>
        <v/>
      </c>
      <c r="C60" s="37">
        <f>$H$47*(B60/$E$47)*(1+$B$23)^(A60-1)</f>
        <v/>
      </c>
      <c r="D60" s="37">
        <f>$H$18*$B$24</f>
        <v/>
      </c>
      <c r="E60" s="37">
        <f>C60-D60</f>
        <v/>
      </c>
      <c r="F60" s="37">
        <f>F59+E60</f>
        <v/>
      </c>
      <c r="G60" s="16">
        <f>IF(AND(F59&lt;0,F60&gt;=0),A60-1+(-F59)/E60,"")</f>
        <v/>
      </c>
      <c r="H60" s="42" t="inlineStr"/>
    </row>
    <row r="61">
      <c r="A61" s="41" t="n">
        <v>11</v>
      </c>
      <c r="B61" s="37">
        <f>$E$47*(1-$B$22)^(A61-1)</f>
        <v/>
      </c>
      <c r="C61" s="37">
        <f>$H$47*(B61/$E$47)*(1+$B$23)^(A61-1)</f>
        <v/>
      </c>
      <c r="D61" s="37">
        <f>$H$18*$B$24</f>
        <v/>
      </c>
      <c r="E61" s="37">
        <f>C61-D61</f>
        <v/>
      </c>
      <c r="F61" s="37">
        <f>F60+E61</f>
        <v/>
      </c>
      <c r="G61" s="16">
        <f>IF(AND(F60&lt;0,F61&gt;=0),A61-1+(-F60)/E61,"")</f>
        <v/>
      </c>
      <c r="H61" s="42" t="inlineStr"/>
    </row>
    <row r="62">
      <c r="A62" s="41" t="n">
        <v>12</v>
      </c>
      <c r="B62" s="37">
        <f>$E$47*(1-$B$22)^(A62-1)</f>
        <v/>
      </c>
      <c r="C62" s="37">
        <f>$H$47*(B62/$E$47)*(1+$B$23)^(A62-1)</f>
        <v/>
      </c>
      <c r="D62" s="37">
        <f>$H$18*$B$24</f>
        <v/>
      </c>
      <c r="E62" s="37">
        <f>C62-D62</f>
        <v/>
      </c>
      <c r="F62" s="37">
        <f>F61+E62</f>
        <v/>
      </c>
      <c r="G62" s="16">
        <f>IF(AND(F61&lt;0,F62&gt;=0),A62-1+(-F61)/E62,"")</f>
        <v/>
      </c>
      <c r="H62" s="42" t="inlineStr"/>
    </row>
    <row r="63">
      <c r="A63" s="41" t="n">
        <v>13</v>
      </c>
      <c r="B63" s="37">
        <f>$E$47*(1-$B$22)^(A63-1)</f>
        <v/>
      </c>
      <c r="C63" s="37">
        <f>$H$47*(B63/$E$47)*(1+$B$23)^(A63-1)</f>
        <v/>
      </c>
      <c r="D63" s="37">
        <f>$H$18*$B$24</f>
        <v/>
      </c>
      <c r="E63" s="37">
        <f>C63-D63</f>
        <v/>
      </c>
      <c r="F63" s="37">
        <f>F62+E63</f>
        <v/>
      </c>
      <c r="G63" s="16">
        <f>IF(AND(F62&lt;0,F63&gt;=0),A63-1+(-F62)/E63,"")</f>
        <v/>
      </c>
      <c r="H63" s="42" t="inlineStr"/>
    </row>
    <row r="64">
      <c r="A64" s="41" t="n">
        <v>14</v>
      </c>
      <c r="B64" s="37">
        <f>$E$47*(1-$B$22)^(A64-1)</f>
        <v/>
      </c>
      <c r="C64" s="37">
        <f>$H$47*(B64/$E$47)*(1+$B$23)^(A64-1)</f>
        <v/>
      </c>
      <c r="D64" s="37">
        <f>$H$18*$B$24</f>
        <v/>
      </c>
      <c r="E64" s="37">
        <f>C64-D64</f>
        <v/>
      </c>
      <c r="F64" s="37">
        <f>F63+E64</f>
        <v/>
      </c>
      <c r="G64" s="16">
        <f>IF(AND(F63&lt;0,F64&gt;=0),A64-1+(-F63)/E64,"")</f>
        <v/>
      </c>
      <c r="H64" s="42" t="inlineStr"/>
    </row>
    <row r="65">
      <c r="A65" s="41" t="n">
        <v>15</v>
      </c>
      <c r="B65" s="37">
        <f>$E$47*(1-$B$22)^(A65-1)</f>
        <v/>
      </c>
      <c r="C65" s="37">
        <f>$H$47*(B65/$E$47)*(1+$B$23)^(A65-1)</f>
        <v/>
      </c>
      <c r="D65" s="37">
        <f>$H$18*$B$24</f>
        <v/>
      </c>
      <c r="E65" s="37">
        <f>C65-D65</f>
        <v/>
      </c>
      <c r="F65" s="37">
        <f>F64+E65</f>
        <v/>
      </c>
      <c r="G65" s="16">
        <f>IF(AND(F64&lt;0,F65&gt;=0),A65-1+(-F64)/E65,"")</f>
        <v/>
      </c>
      <c r="H65" s="42" t="inlineStr"/>
    </row>
    <row r="66">
      <c r="A66" s="41" t="n">
        <v>16</v>
      </c>
      <c r="B66" s="37">
        <f>$E$47*(1-$B$22)^(A66-1)</f>
        <v/>
      </c>
      <c r="C66" s="37">
        <f>$H$47*(B66/$E$47)*(1+$B$23)^(A66-1)</f>
        <v/>
      </c>
      <c r="D66" s="37">
        <f>$H$18*$B$24</f>
        <v/>
      </c>
      <c r="E66" s="37">
        <f>C66-D66</f>
        <v/>
      </c>
      <c r="F66" s="37">
        <f>F65+E66</f>
        <v/>
      </c>
      <c r="G66" s="16">
        <f>IF(AND(F65&lt;0,F66&gt;=0),A66-1+(-F65)/E66,"")</f>
        <v/>
      </c>
      <c r="H66" s="42" t="inlineStr"/>
    </row>
    <row r="67">
      <c r="A67" s="41" t="n">
        <v>17</v>
      </c>
      <c r="B67" s="37">
        <f>$E$47*(1-$B$22)^(A67-1)</f>
        <v/>
      </c>
      <c r="C67" s="37">
        <f>$H$47*(B67/$E$47)*(1+$B$23)^(A67-1)</f>
        <v/>
      </c>
      <c r="D67" s="37">
        <f>$H$18*$B$24</f>
        <v/>
      </c>
      <c r="E67" s="37">
        <f>C67-D67</f>
        <v/>
      </c>
      <c r="F67" s="37">
        <f>F66+E67</f>
        <v/>
      </c>
      <c r="G67" s="16">
        <f>IF(AND(F66&lt;0,F67&gt;=0),A67-1+(-F66)/E67,"")</f>
        <v/>
      </c>
      <c r="H67" s="42" t="inlineStr"/>
    </row>
    <row r="68">
      <c r="A68" s="41" t="n">
        <v>18</v>
      </c>
      <c r="B68" s="37">
        <f>$E$47*(1-$B$22)^(A68-1)</f>
        <v/>
      </c>
      <c r="C68" s="37">
        <f>$H$47*(B68/$E$47)*(1+$B$23)^(A68-1)</f>
        <v/>
      </c>
      <c r="D68" s="37">
        <f>$H$18*$B$24</f>
        <v/>
      </c>
      <c r="E68" s="37">
        <f>C68-D68</f>
        <v/>
      </c>
      <c r="F68" s="37">
        <f>F67+E68</f>
        <v/>
      </c>
      <c r="G68" s="16">
        <f>IF(AND(F67&lt;0,F68&gt;=0),A68-1+(-F67)/E68,"")</f>
        <v/>
      </c>
      <c r="H68" s="42" t="inlineStr"/>
    </row>
    <row r="69">
      <c r="A69" s="41" t="n">
        <v>19</v>
      </c>
      <c r="B69" s="37">
        <f>$E$47*(1-$B$22)^(A69-1)</f>
        <v/>
      </c>
      <c r="C69" s="37">
        <f>$H$47*(B69/$E$47)*(1+$B$23)^(A69-1)</f>
        <v/>
      </c>
      <c r="D69" s="37">
        <f>$H$18*$B$24</f>
        <v/>
      </c>
      <c r="E69" s="37">
        <f>C69-D69</f>
        <v/>
      </c>
      <c r="F69" s="37">
        <f>F68+E69</f>
        <v/>
      </c>
      <c r="G69" s="16">
        <f>IF(AND(F68&lt;0,F69&gt;=0),A69-1+(-F68)/E69,"")</f>
        <v/>
      </c>
      <c r="H69" s="42" t="inlineStr"/>
    </row>
    <row r="70">
      <c r="A70" s="41" t="n">
        <v>20</v>
      </c>
      <c r="B70" s="37">
        <f>$E$47*(1-$B$22)^(A70-1)</f>
        <v/>
      </c>
      <c r="C70" s="37">
        <f>$H$47*(B70/$E$47)*(1+$B$23)^(A70-1)</f>
        <v/>
      </c>
      <c r="D70" s="37">
        <f>$H$18*$B$24</f>
        <v/>
      </c>
      <c r="E70" s="37">
        <f>C70-D70</f>
        <v/>
      </c>
      <c r="F70" s="37">
        <f>F69+E70</f>
        <v/>
      </c>
      <c r="G70" s="16">
        <f>IF(AND(F69&lt;0,F70&gt;=0),A70-1+(-F69)/E70,"")</f>
        <v/>
      </c>
      <c r="H70" s="42" t="inlineStr"/>
    </row>
    <row r="71">
      <c r="A71" s="41" t="n">
        <v>21</v>
      </c>
      <c r="B71" s="37">
        <f>$E$47*(1-$B$22)^(A71-1)</f>
        <v/>
      </c>
      <c r="C71" s="37">
        <f>$H$47*(B71/$E$47)*(1+$B$23)^(A71-1)</f>
        <v/>
      </c>
      <c r="D71" s="37">
        <f>$H$18*$B$24</f>
        <v/>
      </c>
      <c r="E71" s="37">
        <f>C71-D71</f>
        <v/>
      </c>
      <c r="F71" s="37">
        <f>F70+E71</f>
        <v/>
      </c>
      <c r="G71" s="16">
        <f>IF(AND(F70&lt;0,F71&gt;=0),A71-1+(-F70)/E71,"")</f>
        <v/>
      </c>
      <c r="H71" s="42" t="inlineStr"/>
    </row>
    <row r="72">
      <c r="A72" s="41" t="n">
        <v>22</v>
      </c>
      <c r="B72" s="37">
        <f>$E$47*(1-$B$22)^(A72-1)</f>
        <v/>
      </c>
      <c r="C72" s="37">
        <f>$H$47*(B72/$E$47)*(1+$B$23)^(A72-1)</f>
        <v/>
      </c>
      <c r="D72" s="37">
        <f>$H$18*$B$24</f>
        <v/>
      </c>
      <c r="E72" s="37">
        <f>C72-D72</f>
        <v/>
      </c>
      <c r="F72" s="37">
        <f>F71+E72</f>
        <v/>
      </c>
      <c r="G72" s="16">
        <f>IF(AND(F71&lt;0,F72&gt;=0),A72-1+(-F71)/E72,"")</f>
        <v/>
      </c>
      <c r="H72" s="42" t="inlineStr"/>
    </row>
    <row r="73">
      <c r="A73" s="41" t="n">
        <v>23</v>
      </c>
      <c r="B73" s="37">
        <f>$E$47*(1-$B$22)^(A73-1)</f>
        <v/>
      </c>
      <c r="C73" s="37">
        <f>$H$47*(B73/$E$47)*(1+$B$23)^(A73-1)</f>
        <v/>
      </c>
      <c r="D73" s="37">
        <f>$H$18*$B$24</f>
        <v/>
      </c>
      <c r="E73" s="37">
        <f>C73-D73</f>
        <v/>
      </c>
      <c r="F73" s="37">
        <f>F72+E73</f>
        <v/>
      </c>
      <c r="G73" s="16">
        <f>IF(AND(F72&lt;0,F73&gt;=0),A73-1+(-F72)/E73,"")</f>
        <v/>
      </c>
      <c r="H73" s="42" t="inlineStr"/>
    </row>
    <row r="74">
      <c r="A74" s="41" t="n">
        <v>24</v>
      </c>
      <c r="B74" s="37">
        <f>$E$47*(1-$B$22)^(A74-1)</f>
        <v/>
      </c>
      <c r="C74" s="37">
        <f>$H$47*(B74/$E$47)*(1+$B$23)^(A74-1)</f>
        <v/>
      </c>
      <c r="D74" s="37">
        <f>$H$18*$B$24</f>
        <v/>
      </c>
      <c r="E74" s="37">
        <f>C74-D74</f>
        <v/>
      </c>
      <c r="F74" s="37">
        <f>F73+E74</f>
        <v/>
      </c>
      <c r="G74" s="16">
        <f>IF(AND(F73&lt;0,F74&gt;=0),A74-1+(-F73)/E74,"")</f>
        <v/>
      </c>
      <c r="H74" s="42" t="inlineStr"/>
    </row>
    <row r="75">
      <c r="A75" s="41" t="n">
        <v>25</v>
      </c>
      <c r="B75" s="37">
        <f>$E$47*(1-$B$22)^(A75-1)</f>
        <v/>
      </c>
      <c r="C75" s="37">
        <f>$H$47*(B75/$E$47)*(1+$B$23)^(A75-1)</f>
        <v/>
      </c>
      <c r="D75" s="37">
        <f>$H$18*$B$24</f>
        <v/>
      </c>
      <c r="E75" s="37">
        <f>C75-D75</f>
        <v/>
      </c>
      <c r="F75" s="37">
        <f>F74+E75</f>
        <v/>
      </c>
      <c r="G75" s="16">
        <f>IF(AND(F74&lt;0,F75&gt;=0),A75-1+(-F74)/E75,"")</f>
        <v/>
      </c>
      <c r="H75" s="42" t="inlineStr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6">
    <mergeCell ref="E12:F12"/>
    <mergeCell ref="G12:H12"/>
    <mergeCell ref="E19:G19"/>
    <mergeCell ref="G11:H11"/>
    <mergeCell ref="E5:F5"/>
    <mergeCell ref="A49:H49"/>
    <mergeCell ref="A1:H1"/>
    <mergeCell ref="G8:H8"/>
    <mergeCell ref="E15:G15"/>
    <mergeCell ref="E8:F8"/>
    <mergeCell ref="A14:C14"/>
    <mergeCell ref="G6:H6"/>
    <mergeCell ref="A4:C4"/>
    <mergeCell ref="E9:F9"/>
    <mergeCell ref="E16:G16"/>
    <mergeCell ref="E6:F6"/>
    <mergeCell ref="A2:H2"/>
    <mergeCell ref="E11:F11"/>
    <mergeCell ref="G5:H5"/>
    <mergeCell ref="A33:H33"/>
    <mergeCell ref="E18:G18"/>
    <mergeCell ref="E21:G21"/>
    <mergeCell ref="E14:G14"/>
    <mergeCell ref="E17:G17"/>
    <mergeCell ref="G9:H9"/>
    <mergeCell ref="E20:G20"/>
  </mergeCells>
  <conditionalFormatting sqref="F51:F75">
    <cfRule type="expression" priority="1" dxfId="0">
      <formula>F51&gt;=0</formula>
    </cfRule>
    <cfRule type="expression" priority="2" dxfId="1">
      <formula>F51&lt;0</formula>
    </cfRule>
  </conditionalFormatting>
  <dataValidations count="10">
    <dataValidation sqref="B8" showDropDown="0" showInputMessage="0" showErrorMessage="1" allowBlank="1" errorTitle="Sheetaky" error="Enter a number between 0.1 and 1.2" type="decimal" operator="between">
      <formula1>0.1</formula1>
      <formula2>1.2</formula2>
    </dataValidation>
    <dataValidation sqref="B9" showDropDown="0" showInputMessage="0" showErrorMessage="1" allowBlank="1" errorTitle="Sheetaky" error="Enter a number between 0.6 and 0.95" type="decimal" operator="between">
      <formula1>0.6</formula1>
      <formula2>0.95</formula2>
    </dataValidation>
    <dataValidation sqref="B10" showDropDown="0" showInputMessage="0" showErrorMessage="1" allowBlank="1" errorTitle="Sheetaky" error="Enter a number between 200 and 800" type="whole" operator="between">
      <formula1>200</formula1>
      <formula2>800</formula2>
    </dataValidation>
    <dataValidation sqref="B11" showDropDown="0" showInputMessage="0" showErrorMessage="1" allowBlank="1" errorTitle="Sheetaky" error="Enter a number between 1 and 4" type="decimal" operator="between">
      <formula1>1</formula1>
      <formula2>4</formula2>
    </dataValidation>
    <dataValidation sqref="B12" showDropDown="0" showInputMessage="0" showErrorMessage="1" allowBlank="1" errorTitle="Sheetaky" error="Enter a number between 5 and 100000" type="decimal" operator="between">
      <formula1>5</formula1>
      <formula2>100000</formula2>
    </dataValidation>
    <dataValidation sqref="B13" showDropDown="0" showInputMessage="0" showErrorMessage="1" allowBlank="1" errorTitle="Sheetaky" error="Enter a number between 1 and 1.5" type="decimal" operator="between">
      <formula1>1</formula1>
      <formula2>1.5</formula2>
    </dataValidation>
    <dataValidation sqref="B5" showDropDown="0" showInputMessage="0" showErrorMessage="1" allowBlank="1" errorTitle="Sheetaky" error="Pick a value from the list" type="list">
      <formula1>=$J$5:$J$26</formula1>
    </dataValidation>
    <dataValidation sqref="B7" showDropDown="0" showInputMessage="0" showErrorMessage="1" allowBlank="1" errorTitle="Sheetaky" error="Pick a value from the list" type="list">
      <formula1>=$J$40:$J$42</formula1>
    </dataValidation>
    <dataValidation sqref="B35:B46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D35:D46" showDropDown="0" showInputMessage="0" showErrorMessage="1" allowBlank="1" errorTitle="Sheetaky" error="Enter a number between 0.3 and 1.8" type="decimal" operator="between">
      <formula1>0.3</formula1>
      <formula2>1.8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Solar PV Calculator: Panels, Inverter, Savings and Payback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45" customHeight="1">
      <c r="A5" s="43" t="inlineStr">
        <is>
          <t>The sheet sizes a solar plant for a home or facility from your monthly consumption and city, then shows monthly output, savings under tiered tariffs, payback and the real cost per kWh over 25 years.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44" t="n">
        <v>1</v>
      </c>
      <c r="B8" s="43" t="inlineStr">
        <is>
          <t>Pick the city, system type and target share of consumption.</t>
        </is>
      </c>
    </row>
    <row r="9" ht="20" customHeight="1">
      <c r="A9" s="44" t="n">
        <v>2</v>
      </c>
      <c r="B9" s="43" t="inlineStr">
        <is>
          <t>Enter each month consumption from your bills.</t>
        </is>
      </c>
    </row>
    <row r="10" ht="20" customHeight="1">
      <c r="A10" s="44" t="n">
        <v>3</v>
      </c>
      <c r="B10" s="43" t="inlineStr">
        <is>
          <t>Edit tariff and cost to match your current provider.</t>
        </is>
      </c>
    </row>
    <row r="11" ht="20" customHeight="1">
      <c r="A11" s="44" t="n">
        <v>4</v>
      </c>
      <c r="B11" s="43" t="inlineStr">
        <is>
          <t>Read plant size, panels, inverter and payback.</t>
        </is>
      </c>
    </row>
    <row r="13" ht="22" customHeight="1">
      <c r="A13" s="5" t="inlineStr">
        <is>
          <t>Color legend</t>
        </is>
      </c>
      <c r="B13" s="6" t="n"/>
    </row>
    <row r="14">
      <c r="A14" s="45" t="inlineStr"/>
      <c r="B14" s="43" t="inlineStr">
        <is>
          <t>Input cell: type or choose your value here (blue text on yellow).</t>
        </is>
      </c>
    </row>
    <row r="15">
      <c r="A15" s="46" t="inlineStr"/>
      <c r="B15" s="43" t="inlineStr">
        <is>
          <t>Calculated cell: automatic formula, protected from accidental edits.</t>
        </is>
      </c>
    </row>
    <row r="16">
      <c r="A16" s="47" t="inlineStr"/>
      <c r="B16" s="43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30" customHeight="1">
      <c r="A19" s="48" t="inlineStr">
        <is>
          <t>•</t>
        </is>
      </c>
      <c r="B19" s="49" t="inlineStr">
        <is>
          <t>Peak sun hours are approximate city values; use Global Solar Atlas or PVGIS data for your site before buying.</t>
        </is>
      </c>
    </row>
    <row r="20" ht="20" customHeight="1">
      <c r="A20" s="48" t="inlineStr">
        <is>
          <t>•</t>
        </is>
      </c>
      <c r="B20" s="49" t="inlineStr">
        <is>
          <t>Season indexes are editable and normalised so the annual output stays the same.</t>
        </is>
      </c>
    </row>
    <row r="21" ht="20" customHeight="1">
      <c r="A21" s="48" t="inlineStr">
        <is>
          <t>•</t>
        </is>
      </c>
      <c r="B21" s="49" t="inlineStr">
        <is>
          <t>Tariff and export credit are examples; apply your utility rules.</t>
        </is>
      </c>
    </row>
    <row r="22" ht="30" customHeight="1">
      <c r="A22" s="48" t="inlineStr">
        <is>
          <t>•</t>
        </is>
      </c>
      <c r="B22" s="49" t="inlineStr">
        <is>
          <t>Sheets are protected without a password to keep formulas safe. To unprotect: Review → Unprotect Sheet.</t>
        </is>
      </c>
    </row>
    <row r="23" ht="20" customHeight="1">
      <c r="A23" s="48" t="inlineStr">
        <is>
          <t>•</t>
        </is>
      </c>
      <c r="B23" s="49" t="inlineStr">
        <is>
          <t>The data shown is a worked example. Clear it and type your own data in the yellow cells only.</t>
        </is>
      </c>
    </row>
    <row r="24" ht="20" customHeight="1">
      <c r="A24" s="48" t="inlineStr">
        <is>
          <t>•</t>
        </is>
      </c>
      <c r="B24" s="49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PV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2026-10-23T12:32:01Z</dcterms:modified>
</cp:coreProperties>
</file>