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مشروع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"/>
    <numFmt numFmtId="166" formatCode="0.0%"/>
    <numFmt numFmtId="167" formatCode="#,##0;[Red]-#,##0"/>
    <numFmt numFmtId="168" formatCode="+0%;[Red]-0%;0%"/>
    <numFmt numFmtId="169" formatCode="+0%;[Red]-0%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3A3BC"/>
      <sz val="9"/>
    </font>
    <font>
      <name val="Segoe UI"/>
      <b val="1"/>
      <color rgb="00000000"/>
      <sz val="10"/>
    </font>
    <font>
      <name val="Segoe UI"/>
      <color rgb="00E7EEF8"/>
      <sz val="10"/>
    </font>
    <font>
      <name val="Segoe UI"/>
      <b val="1"/>
      <color rgb="00E7EEF8"/>
      <sz val="10"/>
    </font>
    <font>
      <name val="Segoe UI"/>
      <color rgb="007DD3FC"/>
      <sz val="10"/>
    </font>
    <font>
      <name val="Segoe UI"/>
      <b val="1"/>
      <color rgb="0093A3BC"/>
      <sz val="9"/>
    </font>
    <font>
      <name val="Segoe UI"/>
      <b val="1"/>
      <color rgb="0022C55E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060B15"/>
      <sz val="11"/>
    </font>
    <font>
      <name val="Segoe UI"/>
      <b val="1"/>
      <color rgb="00FFFFFF"/>
      <sz val="10"/>
    </font>
    <font>
      <name val="Segoe UI"/>
      <b val="1"/>
      <color rgb="0022C55E"/>
      <sz val="10"/>
    </font>
  </fonts>
  <fills count="9">
    <fill>
      <patternFill/>
    </fill>
    <fill>
      <patternFill patternType="gray125"/>
    </fill>
    <fill>
      <patternFill patternType="solid">
        <fgColor rgb="00111C30"/>
      </patternFill>
    </fill>
    <fill>
      <patternFill patternType="solid">
        <fgColor rgb="000E1726"/>
      </patternFill>
    </fill>
    <fill>
      <patternFill patternType="solid">
        <fgColor rgb="0022C55E"/>
      </patternFill>
    </fill>
    <fill>
      <patternFill patternType="solid">
        <fgColor rgb="001D2C48"/>
      </patternFill>
    </fill>
    <fill>
      <patternFill patternType="solid">
        <fgColor rgb="0015233B"/>
      </patternFill>
    </fill>
    <fill>
      <patternFill patternType="solid">
        <fgColor rgb="000B1424"/>
      </patternFill>
    </fill>
    <fill>
      <patternFill patternType="solid">
        <fgColor rgb="00060B15"/>
      </patternFill>
    </fill>
  </fills>
  <borders count="4">
    <border>
      <left/>
      <right/>
      <top/>
      <bottom/>
      <diagonal/>
    </border>
    <border>
      <left style="thin">
        <color rgb="002A3B5C"/>
      </left>
      <right style="thin">
        <color rgb="002A3B5C"/>
      </right>
      <top style="thin">
        <color rgb="002A3B5C"/>
      </top>
      <bottom style="thin">
        <color rgb="002A3B5C"/>
      </bottom>
    </border>
    <border>
      <top style="medium">
        <color rgb="0022C55E"/>
      </top>
    </border>
    <border/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7" fillId="7" borderId="2" applyAlignment="1" pivotButton="0" quotePrefix="0" xfId="0">
      <alignment horizontal="center" vertical="center" wrapText="1" readingOrder="2"/>
    </xf>
    <xf numFmtId="0" fontId="0" fillId="7" borderId="2" pivotButton="0" quotePrefix="0" xfId="0"/>
    <xf numFmtId="0" fontId="3" fillId="4" borderId="1" applyAlignment="1" pivotButton="0" quotePrefix="0" xfId="0">
      <alignment horizontal="center" vertical="center" wrapText="1" readingOrder="2"/>
    </xf>
    <xf numFmtId="0" fontId="4" fillId="4" borderId="1" applyAlignment="1" pivotButton="0" quotePrefix="0" xfId="0">
      <alignment horizontal="center" vertical="center" wrapText="1" readingOrder="2"/>
    </xf>
    <xf numFmtId="3" fontId="8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167" fontId="8" fillId="6" borderId="3" applyAlignment="1" pivotButton="0" quotePrefix="0" xfId="0">
      <alignment horizontal="center" vertical="center" wrapText="1" readingOrder="2"/>
    </xf>
    <xf numFmtId="166" fontId="8" fillId="6" borderId="3" applyAlignment="1" pivotButton="0" quotePrefix="0" xfId="0">
      <alignment horizontal="center" vertical="center" wrapText="1" readingOrder="2"/>
    </xf>
    <xf numFmtId="9" fontId="8" fillId="6" borderId="3" applyAlignment="1" pivotButton="0" quotePrefix="0" xfId="0">
      <alignment horizontal="center" vertical="center" wrapText="1" readingOrder="2"/>
    </xf>
    <xf numFmtId="0" fontId="5" fillId="2" borderId="1" applyAlignment="1" pivotButton="0" quotePrefix="0" xfId="0">
      <alignment horizontal="center" vertical="center" wrapText="1" readingOrder="2"/>
    </xf>
    <xf numFmtId="164" fontId="6" fillId="5" borderId="1" applyAlignment="1" applyProtection="1" pivotButton="0" quotePrefix="0" xfId="0">
      <alignment horizontal="center" vertical="center" wrapText="1" readingOrder="2"/>
      <protection locked="0" hidden="0"/>
    </xf>
    <xf numFmtId="3" fontId="6" fillId="5" borderId="1" applyAlignment="1" applyProtection="1" pivotButton="0" quotePrefix="0" xfId="0">
      <alignment horizontal="center" vertical="center" wrapText="1" readingOrder="2"/>
      <protection locked="0" hidden="0"/>
    </xf>
    <xf numFmtId="0" fontId="8" fillId="6" borderId="3" applyAlignment="1" pivotButton="0" quotePrefix="0" xfId="0">
      <alignment horizontal="center" vertical="center" wrapText="1" readingOrder="2"/>
    </xf>
    <xf numFmtId="169" fontId="8" fillId="6" borderId="3" applyAlignment="1" pivotButton="0" quotePrefix="0" xfId="0">
      <alignment horizontal="center" vertical="center" wrapText="1" readingOrder="2"/>
    </xf>
    <xf numFmtId="1" fontId="8" fillId="6" borderId="3" applyAlignment="1" pivotButton="0" quotePrefix="0" xfId="0">
      <alignment horizontal="center" vertical="center" wrapText="1" readingOrder="2"/>
    </xf>
    <xf numFmtId="9" fontId="6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6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1" fontId="6" fillId="5" borderId="1" applyAlignment="1" applyProtection="1" pivotButton="0" quotePrefix="0" xfId="0">
      <alignment horizontal="center" vertical="center" wrapText="1" readingOrder="2"/>
      <protection locked="0" hidden="0"/>
    </xf>
    <xf numFmtId="3" fontId="4" fillId="6" borderId="1" applyAlignment="1" pivotButton="0" quotePrefix="0" xfId="0">
      <alignment horizontal="center" vertical="center" wrapText="1" readingOrder="2"/>
    </xf>
    <xf numFmtId="166" fontId="4" fillId="6" borderId="1" applyAlignment="1" pivotButton="0" quotePrefix="0" xfId="0">
      <alignment horizontal="center" vertical="center" wrapText="1" readingOrder="2"/>
    </xf>
    <xf numFmtId="167" fontId="5" fillId="6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center" vertical="center" wrapText="1" readingOrder="2"/>
    </xf>
    <xf numFmtId="167" fontId="4" fillId="6" borderId="1" applyAlignment="1" pivotButton="0" quotePrefix="0" xfId="0">
      <alignment horizontal="center" vertical="center" wrapText="1" readingOrder="2"/>
    </xf>
    <xf numFmtId="168" fontId="4" fillId="6" borderId="1" applyAlignment="1" pivotButton="0" quotePrefix="0" xfId="0">
      <alignment horizontal="center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3" fontId="5" fillId="6" borderId="1" applyAlignment="1" pivotButton="0" quotePrefix="0" xfId="0">
      <alignment horizontal="center" vertical="center" wrapText="1" readingOrder="2"/>
    </xf>
    <xf numFmtId="166" fontId="5" fillId="6" borderId="1" applyAlignment="1" pivotButton="0" quotePrefix="0" xfId="0">
      <alignment horizontal="center" vertical="center" wrapText="1" readingOrder="2"/>
    </xf>
    <xf numFmtId="0" fontId="9" fillId="3" borderId="0" applyAlignment="1" pivotButton="0" quotePrefix="0" xfId="0">
      <alignment horizontal="center" vertical="center" wrapText="1" readingOrder="2"/>
    </xf>
    <xf numFmtId="0" fontId="10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0" fontId="11" fillId="7" borderId="1" applyAlignment="1" pivotButton="0" quotePrefix="0" xfId="0">
      <alignment horizontal="right" vertical="center" wrapText="1" readingOrder="2"/>
    </xf>
    <xf numFmtId="0" fontId="0" fillId="7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12" fillId="3" borderId="1" applyAlignment="1" pivotButton="0" quotePrefix="0" xfId="0">
      <alignment horizontal="right" vertical="center" wrapText="1" readingOrder="2"/>
    </xf>
    <xf numFmtId="0" fontId="6" fillId="5" borderId="1" applyAlignment="1" applyProtection="1" pivotButton="0" quotePrefix="0" xfId="0">
      <alignment horizontal="right" vertical="center" wrapText="1" readingOrder="2"/>
      <protection locked="0" hidden="0"/>
    </xf>
    <xf numFmtId="0" fontId="4" fillId="6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Segoe UI"/>
        <color rgb="00FCA5A5"/>
      </font>
      <fill>
        <patternFill patternType="solid">
          <fgColor rgb="005B1F1F"/>
        </patternFill>
      </fill>
    </dxf>
    <dxf>
      <font>
        <name val="Segoe UI"/>
        <color rgb="00BEF264"/>
      </font>
      <fill>
        <patternFill patternType="solid">
          <fgColor rgb="001F3A1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الإيراد وصافي الربح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'لوحة المشروع'!$A$14:$A$22</f>
            </numRef>
          </cat>
          <val>
            <numRef>
              <f>'لوحة المشروع'!$B$14:$B$22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'لوحة المشروع'!$A$14:$A$22</f>
            </numRef>
          </cat>
          <val>
            <numRef>
              <f>'لوحة المشروع'!$N$14:$N$22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رصيد النقد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1726"/>
            </a:solidFill>
            <a:ln xmlns:a="http://schemas.openxmlformats.org/drawingml/2006/main">
              <a:solidFill>
                <a:srgbClr val="0E1726"/>
              </a:solidFill>
              <a:prstDash val="solid"/>
            </a:ln>
          </spPr>
          <cat>
            <numRef>
              <f>'لوحة المشروع'!$A$14:$A$22</f>
            </numRef>
          </cat>
          <val>
            <numRef>
              <f>'لوحة المشروع'!$R$14:$R$22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28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28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U60"/>
  <sheetViews>
    <sheetView showGridLines="0" rightToLeft="1" zoomScale="100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9" customWidth="1" min="9" max="9"/>
    <col width="9" customWidth="1" min="10" max="10"/>
    <col width="11" customWidth="1" min="11" max="11"/>
    <col width="9" customWidth="1" min="12" max="12"/>
    <col width="11" customWidth="1" min="13" max="13"/>
    <col width="9" customWidth="1" min="14" max="14"/>
    <col width="9" customWidth="1" min="15" max="15"/>
    <col width="8" customWidth="1" min="16" max="16"/>
    <col width="12" customWidth="1" min="17" max="17"/>
    <col width="9" customWidth="1" min="18" max="18"/>
    <col width="3" customWidth="1" min="19" max="19"/>
    <col width="26" customWidth="1" min="20" max="20"/>
    <col width="13" customWidth="1" min="21" max="21"/>
  </cols>
  <sheetData>
    <row r="1" ht="50" customHeight="1">
      <c r="A1" s="1" t="inlineStr">
        <is>
          <t>لوحة المشروع الصغير: الإيراد والربح والنقد ونقطة التعادل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</row>
    <row r="3" ht="20" customHeight="1">
      <c r="A3" s="4" t="inlineStr">
        <is>
          <t>أدخل أرقام كل شهر من دفاترك؛ ترى هامش الربح ونمو المبيعات ورصيد النقد ونقطة التعادل وهامش الأمان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</row>
    <row r="4" ht="18" customHeight="1">
      <c r="A4" s="6" t="inlineStr">
        <is>
          <t>إيراد السنة حتى الآن</t>
        </is>
      </c>
      <c r="B4" s="7" t="n"/>
      <c r="C4" s="7" t="n"/>
      <c r="D4" s="6" t="inlineStr">
        <is>
          <t>صافي الربح</t>
        </is>
      </c>
      <c r="E4" s="7" t="n"/>
      <c r="F4" s="7" t="n"/>
      <c r="G4" s="6" t="inlineStr">
        <is>
          <t>هامش الصافي</t>
        </is>
      </c>
      <c r="H4" s="7" t="n"/>
      <c r="I4" s="7" t="n"/>
      <c r="J4" s="6" t="inlineStr">
        <is>
          <t>رصيد النقد</t>
        </is>
      </c>
      <c r="K4" s="7" t="n"/>
      <c r="L4" s="7" t="n"/>
      <c r="M4" s="6" t="inlineStr">
        <is>
          <t>نقطة التعادل شهريًا</t>
        </is>
      </c>
      <c r="N4" s="7" t="n"/>
      <c r="O4" s="7" t="n"/>
      <c r="P4" s="6" t="inlineStr">
        <is>
          <t>هامش الأمان</t>
        </is>
      </c>
      <c r="Q4" s="7" t="n"/>
      <c r="R4" s="7" t="n"/>
      <c r="S4" s="5" t="n"/>
      <c r="T4" s="8" t="inlineStr">
        <is>
          <t>الإعدادات</t>
        </is>
      </c>
      <c r="U4" s="9" t="n"/>
    </row>
    <row r="5" ht="36" customHeight="1">
      <c r="A5" s="10">
        <f>B26</f>
        <v/>
      </c>
      <c r="B5" s="11" t="n"/>
      <c r="C5" s="11" t="n"/>
      <c r="D5" s="12">
        <f>N26</f>
        <v/>
      </c>
      <c r="E5" s="11" t="n"/>
      <c r="F5" s="11" t="n"/>
      <c r="G5" s="13">
        <f>O26</f>
        <v/>
      </c>
      <c r="H5" s="11" t="n"/>
      <c r="I5" s="11" t="n"/>
      <c r="J5" s="12">
        <f>IFERROR(LOOKUP(9.99E+307,R14:R25),$U$6)</f>
        <v/>
      </c>
      <c r="K5" s="11" t="n"/>
      <c r="L5" s="11" t="n"/>
      <c r="M5" s="10">
        <f>IFERROR((M26/COUNT(B14:B25))/L26,0)</f>
        <v/>
      </c>
      <c r="N5" s="11" t="n"/>
      <c r="O5" s="11" t="n"/>
      <c r="P5" s="14">
        <f>IFERROR(1-((M26/COUNT(B14:B25))/L26)/(B26/COUNT(B14:B25)),0)</f>
        <v/>
      </c>
      <c r="Q5" s="11" t="n"/>
      <c r="R5" s="11" t="n"/>
      <c r="S5" s="5" t="n"/>
      <c r="T5" s="15" t="inlineStr">
        <is>
          <t>بداية السنة المالية</t>
        </is>
      </c>
      <c r="U5" s="16" t="n">
        <v>46023</v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15" t="inlineStr">
        <is>
          <t>الرصيد النقدي الافتتاحي</t>
        </is>
      </c>
      <c r="U6" s="17" t="n">
        <v>35000</v>
      </c>
    </row>
    <row r="7" ht="18" customHeight="1">
      <c r="A7" s="6" t="inlineStr">
        <is>
          <t>متوسط الإيراد الشهري</t>
        </is>
      </c>
      <c r="B7" s="7" t="n"/>
      <c r="C7" s="7" t="n"/>
      <c r="D7" s="6" t="inlineStr">
        <is>
          <t>أفضل شهر</t>
        </is>
      </c>
      <c r="E7" s="7" t="n"/>
      <c r="F7" s="7" t="n"/>
      <c r="G7" s="6" t="inlineStr">
        <is>
          <t>متوسط قيمة الطلب</t>
        </is>
      </c>
      <c r="H7" s="7" t="n"/>
      <c r="I7" s="7" t="n"/>
      <c r="J7" s="6" t="inlineStr">
        <is>
          <t>تكلفة اكتساب العميل</t>
        </is>
      </c>
      <c r="K7" s="7" t="n"/>
      <c r="L7" s="7" t="n"/>
      <c r="M7" s="6" t="inlineStr">
        <is>
          <t>نمو الإيراد (أول إلى آخر شهر)</t>
        </is>
      </c>
      <c r="N7" s="7" t="n"/>
      <c r="O7" s="7" t="n"/>
      <c r="P7" s="6" t="inlineStr">
        <is>
          <t>أشهر مستوفية للهدف</t>
        </is>
      </c>
      <c r="Q7" s="7" t="n"/>
      <c r="R7" s="7" t="n"/>
      <c r="S7" s="5" t="n"/>
      <c r="T7" s="15" t="inlineStr">
        <is>
          <t>هدف الإيراد الشهري</t>
        </is>
      </c>
      <c r="U7" s="17" t="n">
        <v>85000</v>
      </c>
    </row>
    <row r="8" ht="36" customHeight="1">
      <c r="A8" s="10">
        <f>IFERROR(B26/COUNT(B14:B25),0)</f>
        <v/>
      </c>
      <c r="B8" s="11" t="n"/>
      <c r="C8" s="11" t="n"/>
      <c r="D8" s="18">
        <f>IFERROR(TEXT(INDEX(A14:A25,MATCH(MAX(B14:B25),B14:B25,0)),"mmm yy"),"")</f>
        <v/>
      </c>
      <c r="E8" s="11" t="n"/>
      <c r="F8" s="11" t="n"/>
      <c r="G8" s="10">
        <f>P26</f>
        <v/>
      </c>
      <c r="H8" s="11" t="n"/>
      <c r="I8" s="11" t="n"/>
      <c r="J8" s="10">
        <f>IFERROR(F26/J26,0)</f>
        <v/>
      </c>
      <c r="K8" s="11" t="n"/>
      <c r="L8" s="11" t="n"/>
      <c r="M8" s="19">
        <f>IFERROR(LOOKUP(9.99E+307,B14:B25)/B14-1,0)</f>
        <v/>
      </c>
      <c r="N8" s="11" t="n"/>
      <c r="O8" s="11" t="n"/>
      <c r="P8" s="20">
        <f>COUNTIF(B14:B25,"&gt;="&amp;$U$7)</f>
        <v/>
      </c>
      <c r="Q8" s="11" t="n"/>
      <c r="R8" s="11" t="n"/>
      <c r="S8" s="5" t="n"/>
      <c r="T8" s="15" t="inlineStr">
        <is>
          <t>هدف هامش الصافي</t>
        </is>
      </c>
      <c r="U8" s="21" t="n">
        <v>0.12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</row>
    <row r="10">
      <c r="A10" s="22">
        <f>IF(O26&gt;=$U$8,"هامش صافي الربح يحقق هدفك","هامش صافي الربح دون هدفك: راجع تكلفة البضاعة والمصروفات")&amp;" · أكبر بند مصروف: "&amp;INDEX({"الإيجار","الرواتب","التسويق","أخرى"},MATCH(MAX(D26:G26),D26:G26,0))</f>
        <v/>
      </c>
      <c r="S10" s="5" t="n"/>
      <c r="T10" s="5" t="n"/>
      <c r="U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</row>
    <row r="13" ht="34" customHeight="1">
      <c r="A13" s="8" t="inlineStr">
        <is>
          <t>الشهر</t>
        </is>
      </c>
      <c r="B13" s="8" t="inlineStr">
        <is>
          <t>الإيراد</t>
        </is>
      </c>
      <c r="C13" s="8" t="inlineStr">
        <is>
          <t>تكلفة البضاعة</t>
        </is>
      </c>
      <c r="D13" s="8" t="inlineStr">
        <is>
          <t>الإيجار</t>
        </is>
      </c>
      <c r="E13" s="8" t="inlineStr">
        <is>
          <t>الرواتب</t>
        </is>
      </c>
      <c r="F13" s="8" t="inlineStr">
        <is>
          <t>التسويق</t>
        </is>
      </c>
      <c r="G13" s="8" t="inlineStr">
        <is>
          <t>أخرى</t>
        </is>
      </c>
      <c r="H13" s="8" t="inlineStr">
        <is>
          <t>سحوبات المالك</t>
        </is>
      </c>
      <c r="I13" s="8" t="inlineStr">
        <is>
          <t>طلبات</t>
        </is>
      </c>
      <c r="J13" s="8" t="inlineStr">
        <is>
          <t>عملاء جدد</t>
        </is>
      </c>
      <c r="K13" s="8" t="inlineStr">
        <is>
          <t>مجمل الربح</t>
        </is>
      </c>
      <c r="L13" s="8" t="inlineStr">
        <is>
          <t>هامش المجمل</t>
        </is>
      </c>
      <c r="M13" s="8" t="inlineStr">
        <is>
          <t>المصروفات</t>
        </is>
      </c>
      <c r="N13" s="8" t="inlineStr">
        <is>
          <t>صافي الربح</t>
        </is>
      </c>
      <c r="O13" s="8" t="inlineStr">
        <is>
          <t>هامش الصافي</t>
        </is>
      </c>
      <c r="P13" s="8" t="inlineStr">
        <is>
          <t>متوسط الطلب</t>
        </is>
      </c>
      <c r="Q13" s="8" t="inlineStr">
        <is>
          <t>النمو</t>
        </is>
      </c>
      <c r="R13" s="8" t="inlineStr">
        <is>
          <t>رصيد النقد</t>
        </is>
      </c>
      <c r="S13" s="5" t="n"/>
      <c r="T13" s="5" t="n"/>
      <c r="U13" s="5" t="n"/>
    </row>
    <row r="14">
      <c r="A14" s="23">
        <f>EDATE($U$5,0)</f>
        <v/>
      </c>
      <c r="B14" s="17" t="n">
        <v>60100</v>
      </c>
      <c r="C14" s="17" t="n">
        <v>32300</v>
      </c>
      <c r="D14" s="17" t="n">
        <v>6500</v>
      </c>
      <c r="E14" s="17" t="n">
        <v>14000</v>
      </c>
      <c r="F14" s="17" t="n">
        <v>3000</v>
      </c>
      <c r="G14" s="17" t="n">
        <v>2370</v>
      </c>
      <c r="H14" s="17" t="n">
        <v>5000</v>
      </c>
      <c r="I14" s="24" t="n">
        <v>383</v>
      </c>
      <c r="J14" s="24" t="n">
        <v>83</v>
      </c>
      <c r="K14" s="25">
        <f>IF($B14="","",B14-C14)</f>
        <v/>
      </c>
      <c r="L14" s="26">
        <f>IF($B14="","",IFERROR(K14/B14,0))</f>
        <v/>
      </c>
      <c r="M14" s="25">
        <f>IF($B14="","",D14+E14+F14+G14)</f>
        <v/>
      </c>
      <c r="N14" s="27">
        <f>IF($B14="","",K14-M14)</f>
        <v/>
      </c>
      <c r="O14" s="26">
        <f>IF($B14="","",IFERROR(N14/B14,0))</f>
        <v/>
      </c>
      <c r="P14" s="25">
        <f>IF($B14="","",IFERROR(B14/I14,0))</f>
        <v/>
      </c>
      <c r="Q14" s="28" t="inlineStr"/>
      <c r="R14" s="29">
        <f>IF($B14="","",$U$6+SUM($N$14:N14)-SUM($H$14:H14))</f>
        <v/>
      </c>
      <c r="S14" s="5" t="n"/>
      <c r="T14" s="5" t="n"/>
      <c r="U14" s="5" t="n"/>
    </row>
    <row r="15">
      <c r="A15" s="23">
        <f>EDATE($U$5,1)</f>
        <v/>
      </c>
      <c r="B15" s="17" t="n">
        <v>63400</v>
      </c>
      <c r="C15" s="17" t="n">
        <v>33700</v>
      </c>
      <c r="D15" s="17" t="n">
        <v>6500</v>
      </c>
      <c r="E15" s="17" t="n">
        <v>14000</v>
      </c>
      <c r="F15" s="17" t="n">
        <v>3500</v>
      </c>
      <c r="G15" s="17" t="n">
        <v>2494</v>
      </c>
      <c r="H15" s="17" t="n">
        <v>5000</v>
      </c>
      <c r="I15" s="24" t="n">
        <v>390</v>
      </c>
      <c r="J15" s="24" t="n">
        <v>74</v>
      </c>
      <c r="K15" s="25">
        <f>IF($B15="","",B15-C15)</f>
        <v/>
      </c>
      <c r="L15" s="26">
        <f>IF($B15="","",IFERROR(K15/B15,0))</f>
        <v/>
      </c>
      <c r="M15" s="25">
        <f>IF($B15="","",D15+E15+F15+G15)</f>
        <v/>
      </c>
      <c r="N15" s="27">
        <f>IF($B15="","",K15-M15)</f>
        <v/>
      </c>
      <c r="O15" s="26">
        <f>IF($B15="","",IFERROR(N15/B15,0))</f>
        <v/>
      </c>
      <c r="P15" s="25">
        <f>IF($B15="","",IFERROR(B15/I15,0))</f>
        <v/>
      </c>
      <c r="Q15" s="30">
        <f>IF($B15="","",IF(N(B14)=0,"",B15/B14-1))</f>
        <v/>
      </c>
      <c r="R15" s="29">
        <f>IF($B15="","",$U$6+SUM($N$14:N15)-SUM($H$14:H15))</f>
        <v/>
      </c>
      <c r="S15" s="5" t="n"/>
      <c r="T15" s="5" t="n"/>
      <c r="U15" s="5" t="n"/>
    </row>
    <row r="16">
      <c r="A16" s="23">
        <f>EDATE($U$5,2)</f>
        <v/>
      </c>
      <c r="B16" s="17" t="n">
        <v>69100</v>
      </c>
      <c r="C16" s="17" t="n">
        <v>37000</v>
      </c>
      <c r="D16" s="17" t="n">
        <v>6500</v>
      </c>
      <c r="E16" s="17" t="n">
        <v>14000</v>
      </c>
      <c r="F16" s="17" t="n">
        <v>4000</v>
      </c>
      <c r="G16" s="17" t="n">
        <v>2459</v>
      </c>
      <c r="H16" s="17" t="n">
        <v>5000</v>
      </c>
      <c r="I16" s="24" t="n">
        <v>450</v>
      </c>
      <c r="J16" s="24" t="n">
        <v>94</v>
      </c>
      <c r="K16" s="25">
        <f>IF($B16="","",B16-C16)</f>
        <v/>
      </c>
      <c r="L16" s="26">
        <f>IF($B16="","",IFERROR(K16/B16,0))</f>
        <v/>
      </c>
      <c r="M16" s="25">
        <f>IF($B16="","",D16+E16+F16+G16)</f>
        <v/>
      </c>
      <c r="N16" s="27">
        <f>IF($B16="","",K16-M16)</f>
        <v/>
      </c>
      <c r="O16" s="26">
        <f>IF($B16="","",IFERROR(N16/B16,0))</f>
        <v/>
      </c>
      <c r="P16" s="25">
        <f>IF($B16="","",IFERROR(B16/I16,0))</f>
        <v/>
      </c>
      <c r="Q16" s="30">
        <f>IF($B16="","",IF(N(B15)=0,"",B16/B15-1))</f>
        <v/>
      </c>
      <c r="R16" s="29">
        <f>IF($B16="","",$U$6+SUM($N$14:N16)-SUM($H$14:H16))</f>
        <v/>
      </c>
      <c r="S16" s="5" t="n"/>
      <c r="T16" s="5" t="n"/>
      <c r="U16" s="5" t="n"/>
    </row>
    <row r="17">
      <c r="A17" s="23">
        <f>EDATE($U$5,3)</f>
        <v/>
      </c>
      <c r="B17" s="17" t="n">
        <v>69300</v>
      </c>
      <c r="C17" s="17" t="n">
        <v>36000</v>
      </c>
      <c r="D17" s="17" t="n">
        <v>6500</v>
      </c>
      <c r="E17" s="17" t="n">
        <v>14000</v>
      </c>
      <c r="F17" s="17" t="n">
        <v>4200</v>
      </c>
      <c r="G17" s="17" t="n">
        <v>2348</v>
      </c>
      <c r="H17" s="17" t="n">
        <v>5000</v>
      </c>
      <c r="I17" s="24" t="n">
        <v>426</v>
      </c>
      <c r="J17" s="24" t="n">
        <v>77</v>
      </c>
      <c r="K17" s="25">
        <f>IF($B17="","",B17-C17)</f>
        <v/>
      </c>
      <c r="L17" s="26">
        <f>IF($B17="","",IFERROR(K17/B17,0))</f>
        <v/>
      </c>
      <c r="M17" s="25">
        <f>IF($B17="","",D17+E17+F17+G17)</f>
        <v/>
      </c>
      <c r="N17" s="27">
        <f>IF($B17="","",K17-M17)</f>
        <v/>
      </c>
      <c r="O17" s="26">
        <f>IF($B17="","",IFERROR(N17/B17,0))</f>
        <v/>
      </c>
      <c r="P17" s="25">
        <f>IF($B17="","",IFERROR(B17/I17,0))</f>
        <v/>
      </c>
      <c r="Q17" s="30">
        <f>IF($B17="","",IF(N(B16)=0,"",B17/B16-1))</f>
        <v/>
      </c>
      <c r="R17" s="29">
        <f>IF($B17="","",$U$6+SUM($N$14:N17)-SUM($H$14:H17))</f>
        <v/>
      </c>
      <c r="S17" s="5" t="n"/>
      <c r="T17" s="5" t="n"/>
      <c r="U17" s="5" t="n"/>
    </row>
    <row r="18">
      <c r="A18" s="23">
        <f>EDATE($U$5,4)</f>
        <v/>
      </c>
      <c r="B18" s="17" t="n">
        <v>77800</v>
      </c>
      <c r="C18" s="17" t="n">
        <v>40500</v>
      </c>
      <c r="D18" s="17" t="n">
        <v>6500</v>
      </c>
      <c r="E18" s="17" t="n">
        <v>14000</v>
      </c>
      <c r="F18" s="17" t="n">
        <v>4800</v>
      </c>
      <c r="G18" s="17" t="n">
        <v>2056</v>
      </c>
      <c r="H18" s="17" t="n">
        <v>5000</v>
      </c>
      <c r="I18" s="24" t="n">
        <v>503</v>
      </c>
      <c r="J18" s="24" t="n">
        <v>113</v>
      </c>
      <c r="K18" s="25">
        <f>IF($B18="","",B18-C18)</f>
        <v/>
      </c>
      <c r="L18" s="26">
        <f>IF($B18="","",IFERROR(K18/B18,0))</f>
        <v/>
      </c>
      <c r="M18" s="25">
        <f>IF($B18="","",D18+E18+F18+G18)</f>
        <v/>
      </c>
      <c r="N18" s="27">
        <f>IF($B18="","",K18-M18)</f>
        <v/>
      </c>
      <c r="O18" s="26">
        <f>IF($B18="","",IFERROR(N18/B18,0))</f>
        <v/>
      </c>
      <c r="P18" s="25">
        <f>IF($B18="","",IFERROR(B18/I18,0))</f>
        <v/>
      </c>
      <c r="Q18" s="30">
        <f>IF($B18="","",IF(N(B17)=0,"",B18/B17-1))</f>
        <v/>
      </c>
      <c r="R18" s="29">
        <f>IF($B18="","",$U$6+SUM($N$14:N18)-SUM($H$14:H18))</f>
        <v/>
      </c>
      <c r="S18" s="5" t="n"/>
      <c r="T18" s="5" t="n"/>
      <c r="U18" s="5" t="n"/>
    </row>
    <row r="19">
      <c r="A19" s="23">
        <f>EDATE($U$5,5)</f>
        <v/>
      </c>
      <c r="B19" s="17" t="n">
        <v>72900</v>
      </c>
      <c r="C19" s="17" t="n">
        <v>37000</v>
      </c>
      <c r="D19" s="17" t="n">
        <v>6500</v>
      </c>
      <c r="E19" s="17" t="n">
        <v>16500</v>
      </c>
      <c r="F19" s="17" t="n">
        <v>5000</v>
      </c>
      <c r="G19" s="17" t="n">
        <v>2273</v>
      </c>
      <c r="H19" s="17" t="n">
        <v>5000</v>
      </c>
      <c r="I19" s="24" t="n">
        <v>471</v>
      </c>
      <c r="J19" s="24" t="n">
        <v>91</v>
      </c>
      <c r="K19" s="25">
        <f>IF($B19="","",B19-C19)</f>
        <v/>
      </c>
      <c r="L19" s="26">
        <f>IF($B19="","",IFERROR(K19/B19,0))</f>
        <v/>
      </c>
      <c r="M19" s="25">
        <f>IF($B19="","",D19+E19+F19+G19)</f>
        <v/>
      </c>
      <c r="N19" s="27">
        <f>IF($B19="","",K19-M19)</f>
        <v/>
      </c>
      <c r="O19" s="26">
        <f>IF($B19="","",IFERROR(N19/B19,0))</f>
        <v/>
      </c>
      <c r="P19" s="25">
        <f>IF($B19="","",IFERROR(B19/I19,0))</f>
        <v/>
      </c>
      <c r="Q19" s="30">
        <f>IF($B19="","",IF(N(B18)=0,"",B19/B18-1))</f>
        <v/>
      </c>
      <c r="R19" s="29">
        <f>IF($B19="","",$U$6+SUM($N$14:N19)-SUM($H$14:H19))</f>
        <v/>
      </c>
      <c r="S19" s="5" t="n"/>
      <c r="T19" s="5" t="n"/>
      <c r="U19" s="5" t="n"/>
    </row>
    <row r="20">
      <c r="A20" s="23">
        <f>EDATE($U$5,6)</f>
        <v/>
      </c>
      <c r="B20" s="17" t="n">
        <v>81300</v>
      </c>
      <c r="C20" s="17" t="n">
        <v>41000</v>
      </c>
      <c r="D20" s="17" t="n">
        <v>6500</v>
      </c>
      <c r="E20" s="17" t="n">
        <v>16500</v>
      </c>
      <c r="F20" s="17" t="n">
        <v>5200</v>
      </c>
      <c r="G20" s="17" t="n">
        <v>1811</v>
      </c>
      <c r="H20" s="17" t="n">
        <v>5000</v>
      </c>
      <c r="I20" s="24" t="n">
        <v>500</v>
      </c>
      <c r="J20" s="24" t="n">
        <v>106</v>
      </c>
      <c r="K20" s="25">
        <f>IF($B20="","",B20-C20)</f>
        <v/>
      </c>
      <c r="L20" s="26">
        <f>IF($B20="","",IFERROR(K20/B20,0))</f>
        <v/>
      </c>
      <c r="M20" s="25">
        <f>IF($B20="","",D20+E20+F20+G20)</f>
        <v/>
      </c>
      <c r="N20" s="27">
        <f>IF($B20="","",K20-M20)</f>
        <v/>
      </c>
      <c r="O20" s="26">
        <f>IF($B20="","",IFERROR(N20/B20,0))</f>
        <v/>
      </c>
      <c r="P20" s="25">
        <f>IF($B20="","",IFERROR(B20/I20,0))</f>
        <v/>
      </c>
      <c r="Q20" s="30">
        <f>IF($B20="","",IF(N(B19)=0,"",B20/B19-1))</f>
        <v/>
      </c>
      <c r="R20" s="29">
        <f>IF($B20="","",$U$6+SUM($N$14:N20)-SUM($H$14:H20))</f>
        <v/>
      </c>
      <c r="S20" s="5" t="n"/>
      <c r="T20" s="5" t="n"/>
      <c r="U20" s="5" t="n"/>
    </row>
    <row r="21">
      <c r="A21" s="23">
        <f>EDATE($U$5,7)</f>
        <v/>
      </c>
      <c r="B21" s="17" t="n">
        <v>76300</v>
      </c>
      <c r="C21" s="17" t="n">
        <v>38700</v>
      </c>
      <c r="D21" s="17" t="n">
        <v>6500</v>
      </c>
      <c r="E21" s="17" t="n">
        <v>16500</v>
      </c>
      <c r="F21" s="17" t="n">
        <v>6000</v>
      </c>
      <c r="G21" s="17" t="n">
        <v>1890</v>
      </c>
      <c r="H21" s="17" t="n">
        <v>5000</v>
      </c>
      <c r="I21" s="24" t="n">
        <v>501</v>
      </c>
      <c r="J21" s="24" t="n">
        <v>98</v>
      </c>
      <c r="K21" s="25">
        <f>IF($B21="","",B21-C21)</f>
        <v/>
      </c>
      <c r="L21" s="26">
        <f>IF($B21="","",IFERROR(K21/B21,0))</f>
        <v/>
      </c>
      <c r="M21" s="25">
        <f>IF($B21="","",D21+E21+F21+G21)</f>
        <v/>
      </c>
      <c r="N21" s="27">
        <f>IF($B21="","",K21-M21)</f>
        <v/>
      </c>
      <c r="O21" s="26">
        <f>IF($B21="","",IFERROR(N21/B21,0))</f>
        <v/>
      </c>
      <c r="P21" s="25">
        <f>IF($B21="","",IFERROR(B21/I21,0))</f>
        <v/>
      </c>
      <c r="Q21" s="30">
        <f>IF($B21="","",IF(N(B20)=0,"",B21/B20-1))</f>
        <v/>
      </c>
      <c r="R21" s="29">
        <f>IF($B21="","",$U$6+SUM($N$14:N21)-SUM($H$14:H21))</f>
        <v/>
      </c>
      <c r="S21" s="5" t="n"/>
      <c r="T21" s="5" t="n"/>
      <c r="U21" s="5" t="n"/>
    </row>
    <row r="22">
      <c r="A22" s="23">
        <f>EDATE($U$5,8)</f>
        <v/>
      </c>
      <c r="B22" s="17" t="n">
        <v>79300</v>
      </c>
      <c r="C22" s="17" t="n">
        <v>39200</v>
      </c>
      <c r="D22" s="17" t="n">
        <v>6500</v>
      </c>
      <c r="E22" s="17" t="n">
        <v>16500</v>
      </c>
      <c r="F22" s="17" t="n">
        <v>6500</v>
      </c>
      <c r="G22" s="17" t="n">
        <v>2350</v>
      </c>
      <c r="H22" s="17" t="n">
        <v>5000</v>
      </c>
      <c r="I22" s="24" t="n">
        <v>520</v>
      </c>
      <c r="J22" s="24" t="n">
        <v>108</v>
      </c>
      <c r="K22" s="25">
        <f>IF($B22="","",B22-C22)</f>
        <v/>
      </c>
      <c r="L22" s="26">
        <f>IF($B22="","",IFERROR(K22/B22,0))</f>
        <v/>
      </c>
      <c r="M22" s="25">
        <f>IF($B22="","",D22+E22+F22+G22)</f>
        <v/>
      </c>
      <c r="N22" s="27">
        <f>IF($B22="","",K22-M22)</f>
        <v/>
      </c>
      <c r="O22" s="26">
        <f>IF($B22="","",IFERROR(N22/B22,0))</f>
        <v/>
      </c>
      <c r="P22" s="25">
        <f>IF($B22="","",IFERROR(B22/I22,0))</f>
        <v/>
      </c>
      <c r="Q22" s="30">
        <f>IF($B22="","",IF(N(B21)=0,"",B22/B21-1))</f>
        <v/>
      </c>
      <c r="R22" s="29">
        <f>IF($B22="","",$U$6+SUM($N$14:N22)-SUM($H$14:H22))</f>
        <v/>
      </c>
      <c r="S22" s="5" t="n"/>
      <c r="T22" s="5" t="n"/>
      <c r="U22" s="5" t="n"/>
    </row>
    <row r="23">
      <c r="A23" s="23">
        <f>EDATE($U$5,9)</f>
        <v/>
      </c>
      <c r="B23" s="17" t="n"/>
      <c r="C23" s="17" t="n"/>
      <c r="D23" s="17" t="n"/>
      <c r="E23" s="17" t="n"/>
      <c r="F23" s="17" t="n"/>
      <c r="G23" s="17" t="n"/>
      <c r="H23" s="17" t="n"/>
      <c r="I23" s="24" t="n"/>
      <c r="J23" s="24" t="n"/>
      <c r="K23" s="25">
        <f>IF($B23="","",B23-C23)</f>
        <v/>
      </c>
      <c r="L23" s="26">
        <f>IF($B23="","",IFERROR(K23/B23,0))</f>
        <v/>
      </c>
      <c r="M23" s="25">
        <f>IF($B23="","",D23+E23+F23+G23)</f>
        <v/>
      </c>
      <c r="N23" s="27">
        <f>IF($B23="","",K23-M23)</f>
        <v/>
      </c>
      <c r="O23" s="26">
        <f>IF($B23="","",IFERROR(N23/B23,0))</f>
        <v/>
      </c>
      <c r="P23" s="25">
        <f>IF($B23="","",IFERROR(B23/I23,0))</f>
        <v/>
      </c>
      <c r="Q23" s="30">
        <f>IF($B23="","",IF(N(B22)=0,"",B23/B22-1))</f>
        <v/>
      </c>
      <c r="R23" s="29">
        <f>IF($B23="","",$U$6+SUM($N$14:N23)-SUM($H$14:H23))</f>
        <v/>
      </c>
      <c r="S23" s="5" t="n"/>
      <c r="T23" s="5" t="n"/>
      <c r="U23" s="5" t="n"/>
    </row>
    <row r="24">
      <c r="A24" s="23">
        <f>EDATE($U$5,10)</f>
        <v/>
      </c>
      <c r="B24" s="17" t="n"/>
      <c r="C24" s="17" t="n"/>
      <c r="D24" s="17" t="n"/>
      <c r="E24" s="17" t="n"/>
      <c r="F24" s="17" t="n"/>
      <c r="G24" s="17" t="n"/>
      <c r="H24" s="17" t="n"/>
      <c r="I24" s="24" t="n"/>
      <c r="J24" s="24" t="n"/>
      <c r="K24" s="25">
        <f>IF($B24="","",B24-C24)</f>
        <v/>
      </c>
      <c r="L24" s="26">
        <f>IF($B24="","",IFERROR(K24/B24,0))</f>
        <v/>
      </c>
      <c r="M24" s="25">
        <f>IF($B24="","",D24+E24+F24+G24)</f>
        <v/>
      </c>
      <c r="N24" s="27">
        <f>IF($B24="","",K24-M24)</f>
        <v/>
      </c>
      <c r="O24" s="26">
        <f>IF($B24="","",IFERROR(N24/B24,0))</f>
        <v/>
      </c>
      <c r="P24" s="25">
        <f>IF($B24="","",IFERROR(B24/I24,0))</f>
        <v/>
      </c>
      <c r="Q24" s="30">
        <f>IF($B24="","",IF(N(B23)=0,"",B24/B23-1))</f>
        <v/>
      </c>
      <c r="R24" s="29">
        <f>IF($B24="","",$U$6+SUM($N$14:N24)-SUM($H$14:H24))</f>
        <v/>
      </c>
      <c r="S24" s="5" t="n"/>
      <c r="T24" s="5" t="n"/>
      <c r="U24" s="5" t="n"/>
    </row>
    <row r="25">
      <c r="A25" s="23">
        <f>EDATE($U$5,11)</f>
        <v/>
      </c>
      <c r="B25" s="17" t="n"/>
      <c r="C25" s="17" t="n"/>
      <c r="D25" s="17" t="n"/>
      <c r="E25" s="17" t="n"/>
      <c r="F25" s="17" t="n"/>
      <c r="G25" s="17" t="n"/>
      <c r="H25" s="17" t="n"/>
      <c r="I25" s="24" t="n"/>
      <c r="J25" s="24" t="n"/>
      <c r="K25" s="25">
        <f>IF($B25="","",B25-C25)</f>
        <v/>
      </c>
      <c r="L25" s="26">
        <f>IF($B25="","",IFERROR(K25/B25,0))</f>
        <v/>
      </c>
      <c r="M25" s="25">
        <f>IF($B25="","",D25+E25+F25+G25)</f>
        <v/>
      </c>
      <c r="N25" s="27">
        <f>IF($B25="","",K25-M25)</f>
        <v/>
      </c>
      <c r="O25" s="26">
        <f>IF($B25="","",IFERROR(N25/B25,0))</f>
        <v/>
      </c>
      <c r="P25" s="25">
        <f>IF($B25="","",IFERROR(B25/I25,0))</f>
        <v/>
      </c>
      <c r="Q25" s="30">
        <f>IF($B25="","",IF(N(B24)=0,"",B25/B24-1))</f>
        <v/>
      </c>
      <c r="R25" s="29">
        <f>IF($B25="","",$U$6+SUM($N$14:N25)-SUM($H$14:H25))</f>
        <v/>
      </c>
      <c r="S25" s="5" t="n"/>
      <c r="T25" s="5" t="n"/>
      <c r="U25" s="5" t="n"/>
    </row>
    <row r="26">
      <c r="A26" s="31" t="inlineStr">
        <is>
          <t>الإجمالي</t>
        </is>
      </c>
      <c r="B26" s="32">
        <f>SUM(B14:B25)</f>
        <v/>
      </c>
      <c r="C26" s="32">
        <f>SUM(C14:C25)</f>
        <v/>
      </c>
      <c r="D26" s="32">
        <f>SUM(D14:D25)</f>
        <v/>
      </c>
      <c r="E26" s="32">
        <f>SUM(E14:E25)</f>
        <v/>
      </c>
      <c r="F26" s="32">
        <f>SUM(F14:F25)</f>
        <v/>
      </c>
      <c r="G26" s="32">
        <f>SUM(G14:G25)</f>
        <v/>
      </c>
      <c r="H26" s="32">
        <f>SUM(H14:H25)</f>
        <v/>
      </c>
      <c r="I26" s="32">
        <f>SUM(I14:I25)</f>
        <v/>
      </c>
      <c r="J26" s="32">
        <f>SUM(J14:J25)</f>
        <v/>
      </c>
      <c r="K26" s="32">
        <f>SUM(K14:K25)</f>
        <v/>
      </c>
      <c r="L26" s="33">
        <f>IFERROR(K26/B26,0)</f>
        <v/>
      </c>
      <c r="M26" s="32">
        <f>SUM(M14:M25)</f>
        <v/>
      </c>
      <c r="N26" s="32">
        <f>SUM(N14:N25)</f>
        <v/>
      </c>
      <c r="O26" s="33">
        <f>IFERROR(N26/B26,0)</f>
        <v/>
      </c>
      <c r="P26" s="32">
        <f>IFERROR(B26/I26,0)</f>
        <v/>
      </c>
      <c r="Q26" s="5" t="n"/>
      <c r="R26" s="5" t="n"/>
      <c r="S26" s="5" t="n"/>
      <c r="T26" s="5" t="n"/>
      <c r="U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7">
    <mergeCell ref="P8:R8"/>
    <mergeCell ref="M7:O7"/>
    <mergeCell ref="J4:L4"/>
    <mergeCell ref="D7:F7"/>
    <mergeCell ref="A3:U3"/>
    <mergeCell ref="J7:L7"/>
    <mergeCell ref="P7:R7"/>
    <mergeCell ref="A5:C5"/>
    <mergeCell ref="G5:I5"/>
    <mergeCell ref="A8:C8"/>
    <mergeCell ref="D4:F4"/>
    <mergeCell ref="G4:I4"/>
    <mergeCell ref="M8:O8"/>
    <mergeCell ref="A4:C4"/>
    <mergeCell ref="D8:F8"/>
    <mergeCell ref="D5:F5"/>
    <mergeCell ref="P5:R5"/>
    <mergeCell ref="M4:O4"/>
    <mergeCell ref="A10:R10"/>
    <mergeCell ref="J8:L8"/>
    <mergeCell ref="P4:R4"/>
    <mergeCell ref="J5:L5"/>
    <mergeCell ref="A1:U1"/>
    <mergeCell ref="M5:O5"/>
    <mergeCell ref="G8:I8"/>
    <mergeCell ref="A7:C7"/>
    <mergeCell ref="G7:I7"/>
  </mergeCells>
  <conditionalFormatting sqref="N14:N25">
    <cfRule type="expression" priority="1" dxfId="0">
      <formula>AND(N14&lt;&gt;"",N14&lt;0)</formula>
    </cfRule>
    <cfRule type="dataBar" priority="4">
      <dataBar showValue="1">
        <cfvo type="num" val="0"/>
        <cfvo type="max"/>
        <color rgb="0022C55E"/>
      </dataBar>
    </cfRule>
  </conditionalFormatting>
  <conditionalFormatting sqref="O14:O25">
    <cfRule type="expression" priority="2" dxfId="1">
      <formula>AND(O14&lt;&gt;"",O14&gt;=$U$8)</formula>
    </cfRule>
  </conditionalFormatting>
  <conditionalFormatting sqref="B14:B25">
    <cfRule type="expression" priority="3" dxfId="1">
      <formula>AND(B14&lt;&gt;"",B14&gt;=$U$7)</formula>
    </cfRule>
  </conditionalFormatting>
  <dataValidations count="5">
    <dataValidation sqref="U5" showDropDown="0" showInputMessage="0" showErrorMessage="1" allowBlank="1" errorTitle="Sheetaky" error="أدخل تاريخًا صحيحًا" type="date" operator="greaterThan">
      <formula1>1</formula1>
    </dataValidation>
    <dataValidation sqref="U6:U7" showDropDown="0" showInputMessage="0" showErrorMessage="1" allowBlank="1" errorTitle="Sheetaky" error="أدخل رقمًا بين 0 و 1000000000" type="decimal" operator="between">
      <formula1>0</formula1>
      <formula2>1000000000</formula2>
    </dataValidation>
    <dataValidation sqref="U8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14:H25" showDropDown="0" showInputMessage="0" showErrorMessage="1" allowBlank="1" errorTitle="Sheetaky" error="أدخل رقمًا بين 0 و 1000000000" type="decimal" operator="between">
      <formula1>0</formula1>
      <formula2>1000000000</formula2>
    </dataValidation>
    <dataValidation sqref="I14:J25" showDropDown="0" showInputMessage="0" showErrorMessage="1" allowBlank="1" errorTitle="Sheetaky" error="أدخل رقمًا بين 0 و 10000000" type="whole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4" t="inlineStr">
        <is>
          <t>دليل استخدام: لوحة المشروع</t>
        </is>
      </c>
      <c r="B1" s="2" t="n"/>
    </row>
    <row r="2" ht="18" customHeight="1">
      <c r="A2" s="35" t="inlineStr">
        <is>
          <t>Sheetaky.com · شيتات إكسل جاهزة بالعربي والإنجليزي</t>
        </is>
      </c>
      <c r="B2" s="36" t="n"/>
    </row>
    <row r="4" ht="22" customHeight="1">
      <c r="A4" s="37" t="inlineStr">
        <is>
          <t>ما هذا الشيت؟</t>
        </is>
      </c>
      <c r="B4" s="38" t="n"/>
    </row>
    <row r="5" ht="30" customHeight="1">
      <c r="A5" s="39" t="inlineStr">
        <is>
          <t>لوحة مالية شهرية لمشروع صغير: تجمع إيراداتك وتكاليفك وسحوباتك فتحسب الربح والهوامش ونمو المبيعات ورصيد النقد ونقطة التعادل وهامش الأمان.</t>
        </is>
      </c>
    </row>
    <row r="7" ht="22" customHeight="1">
      <c r="A7" s="37" t="inlineStr">
        <is>
          <t>خطوات الاستخدام</t>
        </is>
      </c>
      <c r="B7" s="38" t="n"/>
    </row>
    <row r="8" ht="20" customHeight="1">
      <c r="A8" s="40" t="n">
        <v>1</v>
      </c>
      <c r="B8" s="39" t="inlineStr">
        <is>
          <t>اكتب بداية السنة المالية والرصيد الافتتاحي والأهداف.</t>
        </is>
      </c>
    </row>
    <row r="9" ht="20" customHeight="1">
      <c r="A9" s="40" t="n">
        <v>2</v>
      </c>
      <c r="B9" s="39" t="inlineStr">
        <is>
          <t>أدخل أرقام كل شهر من دفاترك.</t>
        </is>
      </c>
    </row>
    <row r="10" ht="20" customHeight="1">
      <c r="A10" s="40" t="n">
        <v>3</v>
      </c>
      <c r="B10" s="39" t="inlineStr">
        <is>
          <t>راجع الهوامش ونقطة التعادل ورصيد النقد.</t>
        </is>
      </c>
    </row>
    <row r="12" ht="22" customHeight="1">
      <c r="A12" s="37" t="inlineStr">
        <is>
          <t>دليل الألوان</t>
        </is>
      </c>
      <c r="B12" s="38" t="n"/>
    </row>
    <row r="13">
      <c r="A13" s="41" t="inlineStr"/>
      <c r="B13" s="39" t="inlineStr">
        <is>
          <t>خلية إدخال: اكتب أو اختر قيمتك هنا (خط أزرق على خلفية صفراء).</t>
        </is>
      </c>
    </row>
    <row r="14">
      <c r="A14" s="42" t="inlineStr"/>
      <c r="B14" s="39" t="inlineStr">
        <is>
          <t>خلية محسوبة: معادلة تلقائية، محمية من المسح بالخطأ.</t>
        </is>
      </c>
    </row>
    <row r="15">
      <c r="A15" s="43" t="inlineStr"/>
      <c r="B15" s="39" t="inlineStr">
        <is>
          <t>عناوين الجداول والأقسام.</t>
        </is>
      </c>
    </row>
    <row r="17" ht="22" customHeight="1">
      <c r="A17" s="37" t="inlineStr">
        <is>
          <t>ملاحظات مهمة</t>
        </is>
      </c>
      <c r="B17" s="38" t="n"/>
    </row>
    <row r="18" ht="20" customHeight="1">
      <c r="A18" s="44" t="inlineStr">
        <is>
          <t>•</t>
        </is>
      </c>
      <c r="B18" s="45" t="inlineStr">
        <is>
          <t>نقطة التعادل = متوسط المصروفات الشهرية ÷ هامش المجمل.</t>
        </is>
      </c>
    </row>
    <row r="19" ht="20" customHeight="1">
      <c r="A19" s="44" t="inlineStr">
        <is>
          <t>•</t>
        </is>
      </c>
      <c r="B19" s="45" t="inlineStr">
        <is>
          <t>هامش الأمان = 1 − التعادل ÷ متوسط الإيراد.</t>
        </is>
      </c>
    </row>
    <row r="20" ht="20" customHeight="1">
      <c r="A20" s="44" t="inlineStr">
        <is>
          <t>•</t>
        </is>
      </c>
      <c r="B20" s="45" t="inlineStr">
        <is>
          <t>رصيد النقد = الافتتاحي + تراكم (الصافي − السحوبات)، وهو تقدير لا يغني عن كشف البنك.</t>
        </is>
      </c>
    </row>
    <row r="21" ht="20" customHeight="1">
      <c r="A21" s="44" t="inlineStr">
        <is>
          <t>•</t>
        </is>
      </c>
      <c r="B21" s="45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4" t="inlineStr">
        <is>
          <t>•</t>
        </is>
      </c>
      <c r="B22" s="45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4" t="inlineStr">
        <is>
          <t>•</t>
        </is>
      </c>
      <c r="B23" s="45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SBD</dc:title>
  <dcterms:created xmlns:dcterms="http://purl.org/dc/terms/" xmlns:xsi="http://www.w3.org/2001/XMLSchema-instance" xsi:type="dcterms:W3CDTF">2026-10-23T13:55:50Z</dcterms:created>
  <dcterms:modified xmlns:dcterms="http://purl.org/dc/terms/" xmlns:xsi="http://www.w3.org/2001/XMLSchema-instance" xsi:type="dcterms:W3CDTF">2026-10-23T13:55:50Z</dcterms:modified>
</cp:coreProperties>
</file>