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" sheetId="1" state="visible" r:id="rId1"/>
    <sheet xmlns:r="http://schemas.openxmlformats.org/officeDocument/2006/relationships" name="Payslip" sheetId="2" state="visible" r:id="rId2"/>
    <sheet xmlns:r="http://schemas.openxmlformats.org/officeDocument/2006/relationships" name="Guide" sheetId="3" state="visible" r:id="rId3"/>
  </sheets>
  <definedNames>
    <definedName name="_xlnm.Print_Area" localSheetId="1">'Payslip'!$A$1:$F$24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#"/>
    <numFmt numFmtId="166" formatCode="0.0%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8A5C68"/>
      <sz val="9"/>
    </font>
    <font>
      <name val="Calibri"/>
      <b val="1"/>
      <color rgb="003A1722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3A1722"/>
      <sz val="10"/>
    </font>
    <font>
      <name val="Calibri"/>
      <b val="1"/>
      <color rgb="00FFFFFF"/>
      <sz val="9"/>
    </font>
    <font>
      <name val="Calibri"/>
      <b val="1"/>
      <color rgb="00F2C14E"/>
      <sz val="18"/>
    </font>
    <font>
      <name val="Calibri"/>
      <b val="1"/>
      <color rgb="008A5C68"/>
      <sz val="9"/>
    </font>
    <font>
      <name val="Calibri"/>
      <b val="1"/>
      <color rgb="007A1F3D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3"/>
    </font>
    <font>
      <name val="Calibri"/>
      <b val="1"/>
      <color rgb="007A1F3D"/>
      <sz val="14"/>
    </font>
    <font>
      <name val="Calibri"/>
      <color rgb="008A5C68"/>
      <sz val="9"/>
    </font>
    <font>
      <name val="Calibri"/>
      <b val="1"/>
      <color rgb="00520F27"/>
      <sz val="11"/>
    </font>
    <font>
      <name val="Calibri"/>
      <b val="1"/>
      <color rgb="00F2C14E"/>
      <sz val="10"/>
    </font>
  </fonts>
  <fills count="9">
    <fill>
      <patternFill/>
    </fill>
    <fill>
      <patternFill patternType="gray125"/>
    </fill>
    <fill>
      <patternFill patternType="solid">
        <fgColor rgb="00FBF3EA"/>
      </patternFill>
    </fill>
    <fill>
      <patternFill patternType="solid">
        <fgColor rgb="007A1F3D"/>
      </patternFill>
    </fill>
    <fill>
      <patternFill patternType="solid">
        <fgColor rgb="00F2C14E"/>
      </patternFill>
    </fill>
    <fill>
      <patternFill patternType="solid">
        <fgColor rgb="00FFF1CC"/>
      </patternFill>
    </fill>
    <fill>
      <patternFill patternType="solid">
        <fgColor rgb="00F8E4E6"/>
      </patternFill>
    </fill>
    <fill>
      <patternFill patternType="solid">
        <fgColor rgb="00520F27"/>
      </patternFill>
    </fill>
    <fill>
      <patternFill patternType="solid">
        <fgColor rgb="00F5DCDF"/>
      </patternFill>
    </fill>
  </fills>
  <borders count="4">
    <border>
      <left/>
      <right/>
      <top/>
      <bottom/>
      <diagonal/>
    </border>
    <border>
      <left style="thin">
        <color rgb="00E3BDC4"/>
      </left>
      <right style="thin">
        <color rgb="00E3BDC4"/>
      </right>
      <top style="thin">
        <color rgb="00E3BDC4"/>
      </top>
      <bottom style="thin">
        <color rgb="00E3BDC4"/>
      </bottom>
    </border>
    <border>
      <top style="medium">
        <color rgb="00F2C14E"/>
      </top>
    </border>
    <border/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2" borderId="1" applyAlignment="1" pivotButton="0" quotePrefix="0" xfId="0">
      <alignment horizontal="left" vertical="center" wrapText="1" readingOrder="1"/>
    </xf>
    <xf numFmtId="9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7" fillId="7" borderId="2" applyAlignment="1" pivotButton="0" quotePrefix="0" xfId="0">
      <alignment horizontal="center" vertical="center" wrapText="1" readingOrder="1"/>
    </xf>
    <xf numFmtId="0" fontId="0" fillId="7" borderId="2" pivotButton="0" quotePrefix="0" xfId="0"/>
    <xf numFmtId="0" fontId="9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0" fontId="5" fillId="3" borderId="1" applyAlignment="1" pivotButton="0" quotePrefix="0" xfId="0">
      <alignment horizontal="center" vertical="center" wrapText="1" readingOrder="1"/>
    </xf>
    <xf numFmtId="3" fontId="8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3" fontId="10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10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166" fontId="8" fillId="3" borderId="3" applyAlignment="1" pivotButton="0" quotePrefix="0" xfId="0">
      <alignment horizontal="center" vertical="center" wrapText="1" readingOrder="1"/>
    </xf>
    <xf numFmtId="1" fontId="10" fillId="6" borderId="3" applyAlignment="1" pivotButton="0" quotePrefix="0" xfId="0">
      <alignment horizontal="center" vertical="center" wrapText="1" readingOrder="1"/>
    </xf>
    <xf numFmtId="3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2" fillId="0" borderId="0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165" fontId="4" fillId="5" borderId="1" applyAlignment="1" applyProtection="1" pivotButton="0" quotePrefix="0" xfId="0">
      <alignment horizontal="center" vertical="center" wrapText="1" readingOrder="1"/>
      <protection locked="0" hidden="0"/>
    </xf>
    <xf numFmtId="4" fontId="6" fillId="6" borderId="1" applyAlignment="1" pivotButton="0" quotePrefix="0" xfId="0">
      <alignment horizontal="center" vertical="center" wrapText="1" readingOrder="1"/>
    </xf>
    <xf numFmtId="4" fontId="3" fillId="6" borderId="1" applyAlignment="1" pivotButton="0" quotePrefix="0" xfId="0">
      <alignment horizontal="center" vertical="center" wrapText="1" readingOrder="1"/>
    </xf>
    <xf numFmtId="0" fontId="5" fillId="3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center" vertical="center" wrapText="1" readingOrder="1"/>
    </xf>
    <xf numFmtId="3" fontId="3" fillId="6" borderId="1" applyAlignment="1" pivotButton="0" quotePrefix="0" xfId="0">
      <alignment horizontal="center" vertical="center" wrapText="1" readingOrder="1"/>
    </xf>
    <xf numFmtId="0" fontId="11" fillId="3" borderId="0" applyAlignment="1" pivotButton="0" quotePrefix="0" xfId="0">
      <alignment horizontal="center" vertical="center" wrapText="1" readingOrder="1"/>
    </xf>
    <xf numFmtId="0" fontId="12" fillId="7" borderId="0" applyAlignment="1" pivotButton="0" quotePrefix="0" xfId="0">
      <alignment horizontal="center" vertical="center" wrapText="1" readingOrder="1"/>
    </xf>
    <xf numFmtId="0" fontId="0" fillId="7" borderId="0" pivotButton="0" quotePrefix="0" xfId="0"/>
    <xf numFmtId="0" fontId="3" fillId="0" borderId="1" applyAlignment="1" pivotButton="0" quotePrefix="0" xfId="0">
      <alignment horizontal="left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9" fontId="6" fillId="6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center" vertical="center" wrapText="1" readingOrder="1"/>
    </xf>
    <xf numFmtId="3" fontId="6" fillId="6" borderId="1" applyAlignment="1" pivotButton="0" quotePrefix="0" xfId="0">
      <alignment horizontal="center" vertical="center" wrapText="1" readingOrder="1"/>
    </xf>
    <xf numFmtId="0" fontId="13" fillId="3" borderId="1" applyAlignment="1" pivotButton="0" quotePrefix="0" xfId="0">
      <alignment horizontal="left" vertical="center" wrapText="1" readingOrder="1"/>
    </xf>
    <xf numFmtId="4" fontId="14" fillId="6" borderId="1" applyAlignment="1" pivotButton="0" quotePrefix="0" xfId="0">
      <alignment horizontal="center" vertical="center" wrapText="1" readingOrder="1"/>
    </xf>
    <xf numFmtId="0" fontId="15" fillId="0" borderId="1" applyAlignment="1" pivotButton="0" quotePrefix="0" xfId="0">
      <alignment horizontal="left" vertical="center" wrapText="1" readingOrder="1"/>
    </xf>
    <xf numFmtId="0" fontId="2" fillId="0" borderId="0" applyAlignment="1" pivotButton="0" quotePrefix="0" xfId="0">
      <alignment horizontal="left" vertical="center" wrapText="1" readingOrder="1"/>
    </xf>
    <xf numFmtId="0" fontId="16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6" fillId="6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17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Calibri"/>
        <color rgb="003A1722"/>
      </font>
      <fill>
        <patternFill patternType="solid">
          <fgColor rgb="00FBE9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pay per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7A1F3D"/>
            </a:solidFill>
            <a:ln xmlns:a="http://schemas.openxmlformats.org/drawingml/2006/main">
              <a:solidFill>
                <a:srgbClr val="7A1F3D"/>
              </a:solidFill>
              <a:prstDash val="solid"/>
            </a:ln>
          </spPr>
          <cat>
            <numRef>
              <f>'Payroll'!$A$13:$A$24</f>
            </numRef>
          </cat>
          <val>
            <numRef>
              <f>'Payroll'!$P$13:$P$24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Employer cost per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7A1F3D"/>
            </a:solidFill>
            <a:ln xmlns:a="http://schemas.openxmlformats.org/drawingml/2006/main">
              <a:solidFill>
                <a:srgbClr val="7A1F3D"/>
              </a:solidFill>
              <a:prstDash val="solid"/>
            </a:ln>
          </spPr>
          <cat>
            <numRef>
              <f>'Payroll'!$A$13:$A$24</f>
            </numRef>
          </cat>
          <val>
            <numRef>
              <f>'Payroll'!$S$13:$S$24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X46"/>
  <sheetViews>
    <sheetView showGridLines="0" rightToLeft="0" zoomScale="10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2" customWidth="1" min="2" max="2"/>
    <col width="11" customWidth="1" min="3" max="3"/>
    <col width="8" customWidth="1" min="4" max="4"/>
    <col width="9" customWidth="1" min="5" max="5"/>
    <col width="9" customWidth="1" min="6" max="6"/>
    <col width="9" customWidth="1" min="7" max="7"/>
    <col width="9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2" customWidth="1" min="20" max="20"/>
    <col width="3" customWidth="1" min="21" max="21"/>
    <col width="34" customWidth="1" min="22" max="22"/>
    <col width="9" customWidth="1" min="23" max="23"/>
    <col width="9" customWidth="1" min="24" max="24"/>
  </cols>
  <sheetData>
    <row r="1" ht="40" customHeight="1">
      <c r="A1" s="1" t="inlineStr">
        <is>
          <t>Salary Breakdown and Allowances: Net Pay, GOSI and Employer Cost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 ht="20" customHeight="1">
      <c r="A3" s="4" t="inlineStr">
        <is>
          <t>Enter each employee package and the sheet splits it into basic, housing and transport and calculates overtime, absence, GOSI, net pay and your real cost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8" customHeight="1">
      <c r="A4" s="6" t="inlineStr">
        <is>
          <t>Housing % of basic</t>
        </is>
      </c>
      <c r="C4" s="7" t="n">
        <v>0.25</v>
      </c>
      <c r="D4" s="5" t="n"/>
      <c r="E4" s="5" t="n"/>
      <c r="F4" s="5" t="n"/>
      <c r="G4" s="5" t="n"/>
      <c r="H4" s="5" t="n"/>
      <c r="I4" s="5" t="n"/>
      <c r="J4" s="5" t="n"/>
      <c r="K4" s="8" t="inlineStr">
        <is>
          <t>Total net pay</t>
        </is>
      </c>
      <c r="L4" s="9" t="n"/>
      <c r="M4" s="9" t="n"/>
      <c r="N4" s="10" t="inlineStr">
        <is>
          <t>Employer cost</t>
        </is>
      </c>
      <c r="O4" s="11" t="n"/>
      <c r="P4" s="11" t="n"/>
      <c r="Q4" s="8" t="inlineStr">
        <is>
          <t>GOSI (both sides)</t>
        </is>
      </c>
      <c r="R4" s="9" t="n"/>
      <c r="S4" s="9" t="n"/>
      <c r="T4" s="5" t="n"/>
      <c r="V4" s="12" t="inlineStr">
        <is>
          <t>GOSI category</t>
        </is>
      </c>
      <c r="W4" s="12" t="inlineStr">
        <is>
          <t>Employee %</t>
        </is>
      </c>
      <c r="X4" s="12" t="inlineStr">
        <is>
          <t>Employer %</t>
        </is>
      </c>
    </row>
    <row r="5" ht="34" customHeight="1">
      <c r="A5" s="6" t="inlineStr">
        <is>
          <t>Transport % of basic</t>
        </is>
      </c>
      <c r="C5" s="7" t="n">
        <v>0.1</v>
      </c>
      <c r="D5" s="5" t="n"/>
      <c r="E5" s="5" t="n"/>
      <c r="F5" s="5" t="n"/>
      <c r="G5" s="5" t="n"/>
      <c r="H5" s="5" t="n"/>
      <c r="I5" s="5" t="n"/>
      <c r="J5" s="5" t="n"/>
      <c r="K5" s="13">
        <f>P37</f>
        <v/>
      </c>
      <c r="L5" s="14" t="n"/>
      <c r="M5" s="14" t="n"/>
      <c r="N5" s="15">
        <f>S37</f>
        <v/>
      </c>
      <c r="O5" s="16" t="n"/>
      <c r="P5" s="16" t="n"/>
      <c r="Q5" s="13">
        <f>O37+Q37</f>
        <v/>
      </c>
      <c r="R5" s="14" t="n"/>
      <c r="S5" s="14" t="n"/>
      <c r="T5" s="5" t="n"/>
      <c r="V5" s="17" t="inlineStr">
        <is>
          <t>Saudi - existing scheme</t>
        </is>
      </c>
      <c r="W5" s="18" t="n">
        <v>0.0975</v>
      </c>
      <c r="X5" s="18" t="n">
        <v>0.1175</v>
      </c>
    </row>
    <row r="6">
      <c r="A6" s="6" t="inlineStr">
        <is>
          <t>Month days basis</t>
        </is>
      </c>
      <c r="C6" s="19" t="n">
        <v>30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V6" s="17" t="inlineStr">
        <is>
          <t>Saudi - new scheme (after Jul 2024)</t>
        </is>
      </c>
      <c r="W6" s="18" t="n">
        <v>0.1075</v>
      </c>
      <c r="X6" s="18" t="n">
        <v>0.1275</v>
      </c>
    </row>
    <row r="7" ht="18" customHeight="1">
      <c r="A7" s="6" t="inlineStr">
        <is>
          <t>Hours per day</t>
        </is>
      </c>
      <c r="C7" s="19" t="n">
        <v>8</v>
      </c>
      <c r="D7" s="5" t="n"/>
      <c r="E7" s="5" t="n"/>
      <c r="F7" s="5" t="n"/>
      <c r="G7" s="5" t="n"/>
      <c r="H7" s="5" t="n"/>
      <c r="I7" s="5" t="n"/>
      <c r="J7" s="5" t="n"/>
      <c r="K7" s="10" t="inlineStr">
        <is>
          <t>Average package</t>
        </is>
      </c>
      <c r="L7" s="11" t="n"/>
      <c r="M7" s="11" t="n"/>
      <c r="N7" s="8" t="inlineStr">
        <is>
          <t>Cost uplift over package</t>
        </is>
      </c>
      <c r="O7" s="9" t="n"/>
      <c r="P7" s="9" t="n"/>
      <c r="Q7" s="10" t="inlineStr">
        <is>
          <t>Employees</t>
        </is>
      </c>
      <c r="R7" s="11" t="n"/>
      <c r="S7" s="11" t="n"/>
      <c r="T7" s="5" t="n"/>
      <c r="V7" s="17" t="inlineStr">
        <is>
          <t>Non-Saudi</t>
        </is>
      </c>
      <c r="W7" s="18" t="n">
        <v>0</v>
      </c>
      <c r="X7" s="18" t="n">
        <v>0.02</v>
      </c>
    </row>
    <row r="8" ht="34" customHeight="1">
      <c r="A8" s="6" t="inlineStr">
        <is>
          <t>Overtime (basic + %)</t>
        </is>
      </c>
      <c r="C8" s="7" t="n">
        <v>0.5</v>
      </c>
      <c r="D8" s="5" t="n"/>
      <c r="E8" s="5" t="n"/>
      <c r="F8" s="5" t="n"/>
      <c r="G8" s="5" t="n"/>
      <c r="H8" s="5" t="n"/>
      <c r="I8" s="5" t="n"/>
      <c r="J8" s="5" t="n"/>
      <c r="K8" s="15">
        <f>IFERROR(C37/COUNT(C13:C36),0)</f>
        <v/>
      </c>
      <c r="L8" s="16" t="n"/>
      <c r="M8" s="16" t="n"/>
      <c r="N8" s="20">
        <f>IFERROR(S37/C37-1,0)</f>
        <v/>
      </c>
      <c r="O8" s="14" t="n"/>
      <c r="P8" s="14" t="n"/>
      <c r="Q8" s="21">
        <f>COUNT(C13:C36)</f>
        <v/>
      </c>
      <c r="R8" s="16" t="n"/>
      <c r="S8" s="16" t="n"/>
      <c r="T8" s="5" t="n"/>
    </row>
    <row r="9">
      <c r="A9" s="6" t="inlineStr">
        <is>
          <t>GOSI wage cap</t>
        </is>
      </c>
      <c r="C9" s="22" t="n">
        <v>45000</v>
      </c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V9" s="23" t="inlineStr">
        <is>
          <t>Check current GOSI rates before relying on them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 ht="40" customHeight="1">
      <c r="A12" s="12" t="inlineStr">
        <is>
          <t>Employee</t>
        </is>
      </c>
      <c r="B12" s="12" t="inlineStr">
        <is>
          <t>GOSI category</t>
        </is>
      </c>
      <c r="C12" s="12" t="inlineStr">
        <is>
          <t>Package</t>
        </is>
      </c>
      <c r="D12" s="12" t="inlineStr">
        <is>
          <t>Years</t>
        </is>
      </c>
      <c r="E12" s="12" t="inlineStr">
        <is>
          <t>Absence days</t>
        </is>
      </c>
      <c r="F12" s="12" t="inlineStr">
        <is>
          <t>OT hours</t>
        </is>
      </c>
      <c r="G12" s="12" t="inlineStr">
        <is>
          <t>Bonus</t>
        </is>
      </c>
      <c r="H12" s="12" t="inlineStr">
        <is>
          <t>Other ded.</t>
        </is>
      </c>
      <c r="I12" s="5" t="n"/>
      <c r="J12" s="12" t="inlineStr">
        <is>
          <t>Basic</t>
        </is>
      </c>
      <c r="K12" s="12" t="inlineStr">
        <is>
          <t>Housing</t>
        </is>
      </c>
      <c r="L12" s="12" t="inlineStr">
        <is>
          <t>Transport</t>
        </is>
      </c>
      <c r="M12" s="12" t="inlineStr">
        <is>
          <t>OT pay</t>
        </is>
      </c>
      <c r="N12" s="12" t="inlineStr">
        <is>
          <t>Absence ded.</t>
        </is>
      </c>
      <c r="O12" s="12" t="inlineStr">
        <is>
          <t>GOSI employee</t>
        </is>
      </c>
      <c r="P12" s="12" t="inlineStr">
        <is>
          <t>Net pay</t>
        </is>
      </c>
      <c r="Q12" s="12" t="inlineStr">
        <is>
          <t>GOSI employer</t>
        </is>
      </c>
      <c r="R12" s="12" t="inlineStr">
        <is>
          <t>EOSB accrual</t>
        </is>
      </c>
      <c r="S12" s="12" t="inlineStr">
        <is>
          <t>Employer cost</t>
        </is>
      </c>
      <c r="T12" s="5" t="n"/>
    </row>
    <row r="13">
      <c r="A13" s="24" t="inlineStr">
        <is>
          <t>Ahmed Al-Otaibi</t>
        </is>
      </c>
      <c r="B13" s="17" t="inlineStr">
        <is>
          <t>Saudi - existing scheme</t>
        </is>
      </c>
      <c r="C13" s="22" t="n">
        <v>18000</v>
      </c>
      <c r="D13" s="25" t="n">
        <v>7.6</v>
      </c>
      <c r="E13" s="26" t="n">
        <v>0</v>
      </c>
      <c r="F13" s="26" t="n">
        <v>0</v>
      </c>
      <c r="G13" s="22" t="n">
        <v>0</v>
      </c>
      <c r="H13" s="22" t="n">
        <v>0</v>
      </c>
      <c r="I13" s="5" t="n"/>
      <c r="J13" s="27">
        <f>IF($C13="","",$C13/(1+$C$4+$C$5))</f>
        <v/>
      </c>
      <c r="K13" s="27">
        <f>IF($C13="","",J13*$C$4)</f>
        <v/>
      </c>
      <c r="L13" s="27">
        <f>IF($C13="","",J13*$C$5)</f>
        <v/>
      </c>
      <c r="M13" s="27">
        <f>IF($C13="","",N($F13)*J13/$C$6/$C$7*(1+$C$8))</f>
        <v/>
      </c>
      <c r="N13" s="27">
        <f>IF($C13="","",N($E13)*$C13/$C$6)</f>
        <v/>
      </c>
      <c r="O13" s="27">
        <f>IF($C13="","",MIN($C$9,J13+K13)*IFERROR(INDEX($W$5:$W$7,MATCH($B13,$V$5:$V$7,0)),0))</f>
        <v/>
      </c>
      <c r="P13" s="28">
        <f>IF($C13="","",$C13+M13+N($G13)-N13-O13-N($H13))</f>
        <v/>
      </c>
      <c r="Q13" s="27">
        <f>IF($C13="","",MIN($C$9,J13+K13)*IFERROR(INDEX($X$5:$X$7,MATCH($B13,$V$5:$V$7,0)),0))</f>
        <v/>
      </c>
      <c r="R13" s="27">
        <f>IF($C13="","",$C13*IF(N($D13)&lt;5,0.5,1)/12)</f>
        <v/>
      </c>
      <c r="S13" s="27">
        <f>IF($C13="","",$C13+M13+N($G13)-N13+Q13+R13)</f>
        <v/>
      </c>
      <c r="T13" s="5" t="n"/>
    </row>
    <row r="14">
      <c r="A14" s="24" t="inlineStr">
        <is>
          <t>Khaled Al-Harbi</t>
        </is>
      </c>
      <c r="B14" s="17" t="inlineStr">
        <is>
          <t>Saudi - new scheme (after Jul 2024)</t>
        </is>
      </c>
      <c r="C14" s="22" t="n">
        <v>9500</v>
      </c>
      <c r="D14" s="25" t="n">
        <v>5.2</v>
      </c>
      <c r="E14" s="26" t="n">
        <v>1</v>
      </c>
      <c r="F14" s="26" t="n">
        <v>6</v>
      </c>
      <c r="G14" s="22" t="n">
        <v>0</v>
      </c>
      <c r="H14" s="22" t="n">
        <v>300</v>
      </c>
      <c r="I14" s="5" t="n"/>
      <c r="J14" s="27">
        <f>IF($C14="","",$C14/(1+$C$4+$C$5))</f>
        <v/>
      </c>
      <c r="K14" s="27">
        <f>IF($C14="","",J14*$C$4)</f>
        <v/>
      </c>
      <c r="L14" s="27">
        <f>IF($C14="","",J14*$C$5)</f>
        <v/>
      </c>
      <c r="M14" s="27">
        <f>IF($C14="","",N($F14)*J14/$C$6/$C$7*(1+$C$8))</f>
        <v/>
      </c>
      <c r="N14" s="27">
        <f>IF($C14="","",N($E14)*$C14/$C$6)</f>
        <v/>
      </c>
      <c r="O14" s="27">
        <f>IF($C14="","",MIN($C$9,J14+K14)*IFERROR(INDEX($W$5:$W$7,MATCH($B14,$V$5:$V$7,0)),0))</f>
        <v/>
      </c>
      <c r="P14" s="28">
        <f>IF($C14="","",$C14+M14+N($G14)-N14-O14-N($H14))</f>
        <v/>
      </c>
      <c r="Q14" s="27">
        <f>IF($C14="","",MIN($C$9,J14+K14)*IFERROR(INDEX($X$5:$X$7,MATCH($B14,$V$5:$V$7,0)),0))</f>
        <v/>
      </c>
      <c r="R14" s="27">
        <f>IF($C14="","",$C14*IF(N($D14)&lt;5,0.5,1)/12)</f>
        <v/>
      </c>
      <c r="S14" s="27">
        <f>IF($C14="","",$C14+M14+N($G14)-N14+Q14+R14)</f>
        <v/>
      </c>
      <c r="T14" s="5" t="n"/>
    </row>
    <row r="15">
      <c r="A15" s="24" t="inlineStr">
        <is>
          <t>Saad Al-Qahtani</t>
        </is>
      </c>
      <c r="B15" s="17" t="inlineStr">
        <is>
          <t>Saudi - new scheme (after Jul 2024)</t>
        </is>
      </c>
      <c r="C15" s="22" t="n">
        <v>8800</v>
      </c>
      <c r="D15" s="25" t="n">
        <v>4.8</v>
      </c>
      <c r="E15" s="26" t="n">
        <v>0</v>
      </c>
      <c r="F15" s="26" t="n">
        <v>10</v>
      </c>
      <c r="G15" s="22" t="n">
        <v>400</v>
      </c>
      <c r="H15" s="22" t="n">
        <v>0</v>
      </c>
      <c r="I15" s="5" t="n"/>
      <c r="J15" s="27">
        <f>IF($C15="","",$C15/(1+$C$4+$C$5))</f>
        <v/>
      </c>
      <c r="K15" s="27">
        <f>IF($C15="","",J15*$C$4)</f>
        <v/>
      </c>
      <c r="L15" s="27">
        <f>IF($C15="","",J15*$C$5)</f>
        <v/>
      </c>
      <c r="M15" s="27">
        <f>IF($C15="","",N($F15)*J15/$C$6/$C$7*(1+$C$8))</f>
        <v/>
      </c>
      <c r="N15" s="27">
        <f>IF($C15="","",N($E15)*$C15/$C$6)</f>
        <v/>
      </c>
      <c r="O15" s="27">
        <f>IF($C15="","",MIN($C$9,J15+K15)*IFERROR(INDEX($W$5:$W$7,MATCH($B15,$V$5:$V$7,0)),0))</f>
        <v/>
      </c>
      <c r="P15" s="28">
        <f>IF($C15="","",$C15+M15+N($G15)-N15-O15-N($H15))</f>
        <v/>
      </c>
      <c r="Q15" s="27">
        <f>IF($C15="","",MIN($C$9,J15+K15)*IFERROR(INDEX($X$5:$X$7,MATCH($B15,$V$5:$V$7,0)),0))</f>
        <v/>
      </c>
      <c r="R15" s="27">
        <f>IF($C15="","",$C15*IF(N($D15)&lt;5,0.5,1)/12)</f>
        <v/>
      </c>
      <c r="S15" s="27">
        <f>IF($C15="","",$C15+M15+N($G15)-N15+Q15+R15)</f>
        <v/>
      </c>
      <c r="T15" s="5" t="n"/>
    </row>
    <row r="16">
      <c r="A16" s="24" t="inlineStr">
        <is>
          <t>Majed Al-Shammari</t>
        </is>
      </c>
      <c r="B16" s="17" t="inlineStr">
        <is>
          <t>Saudi - existing scheme</t>
        </is>
      </c>
      <c r="C16" s="22" t="n">
        <v>12500</v>
      </c>
      <c r="D16" s="25" t="n">
        <v>6.3</v>
      </c>
      <c r="E16" s="26" t="n">
        <v>0</v>
      </c>
      <c r="F16" s="26" t="n">
        <v>0</v>
      </c>
      <c r="G16" s="22" t="n">
        <v>0</v>
      </c>
      <c r="H16" s="22" t="n">
        <v>0</v>
      </c>
      <c r="I16" s="5" t="n"/>
      <c r="J16" s="27">
        <f>IF($C16="","",$C16/(1+$C$4+$C$5))</f>
        <v/>
      </c>
      <c r="K16" s="27">
        <f>IF($C16="","",J16*$C$4)</f>
        <v/>
      </c>
      <c r="L16" s="27">
        <f>IF($C16="","",J16*$C$5)</f>
        <v/>
      </c>
      <c r="M16" s="27">
        <f>IF($C16="","",N($F16)*J16/$C$6/$C$7*(1+$C$8))</f>
        <v/>
      </c>
      <c r="N16" s="27">
        <f>IF($C16="","",N($E16)*$C16/$C$6)</f>
        <v/>
      </c>
      <c r="O16" s="27">
        <f>IF($C16="","",MIN($C$9,J16+K16)*IFERROR(INDEX($W$5:$W$7,MATCH($B16,$V$5:$V$7,0)),0))</f>
        <v/>
      </c>
      <c r="P16" s="28">
        <f>IF($C16="","",$C16+M16+N($G16)-N16-O16-N($H16))</f>
        <v/>
      </c>
      <c r="Q16" s="27">
        <f>IF($C16="","",MIN($C$9,J16+K16)*IFERROR(INDEX($X$5:$X$7,MATCH($B16,$V$5:$V$7,0)),0))</f>
        <v/>
      </c>
      <c r="R16" s="27">
        <f>IF($C16="","",$C16*IF(N($D16)&lt;5,0.5,1)/12)</f>
        <v/>
      </c>
      <c r="S16" s="27">
        <f>IF($C16="","",$C16+M16+N($G16)-N16+Q16+R16)</f>
        <v/>
      </c>
      <c r="T16" s="5" t="n"/>
    </row>
    <row r="17">
      <c r="A17" s="24" t="inlineStr">
        <is>
          <t>Fahad Al-Dosari</t>
        </is>
      </c>
      <c r="B17" s="17" t="inlineStr">
        <is>
          <t>Saudi - new scheme (after Jul 2024)</t>
        </is>
      </c>
      <c r="C17" s="22" t="n">
        <v>7600</v>
      </c>
      <c r="D17" s="25" t="n">
        <v>3.7</v>
      </c>
      <c r="E17" s="26" t="n">
        <v>0</v>
      </c>
      <c r="F17" s="26" t="n">
        <v>8</v>
      </c>
      <c r="G17" s="22" t="n">
        <v>0</v>
      </c>
      <c r="H17" s="22" t="n">
        <v>450</v>
      </c>
      <c r="I17" s="5" t="n"/>
      <c r="J17" s="27">
        <f>IF($C17="","",$C17/(1+$C$4+$C$5))</f>
        <v/>
      </c>
      <c r="K17" s="27">
        <f>IF($C17="","",J17*$C$4)</f>
        <v/>
      </c>
      <c r="L17" s="27">
        <f>IF($C17="","",J17*$C$5)</f>
        <v/>
      </c>
      <c r="M17" s="27">
        <f>IF($C17="","",N($F17)*J17/$C$6/$C$7*(1+$C$8))</f>
        <v/>
      </c>
      <c r="N17" s="27">
        <f>IF($C17="","",N($E17)*$C17/$C$6)</f>
        <v/>
      </c>
      <c r="O17" s="27">
        <f>IF($C17="","",MIN($C$9,J17+K17)*IFERROR(INDEX($W$5:$W$7,MATCH($B17,$V$5:$V$7,0)),0))</f>
        <v/>
      </c>
      <c r="P17" s="28">
        <f>IF($C17="","",$C17+M17+N($G17)-N17-O17-N($H17))</f>
        <v/>
      </c>
      <c r="Q17" s="27">
        <f>IF($C17="","",MIN($C$9,J17+K17)*IFERROR(INDEX($X$5:$X$7,MATCH($B17,$V$5:$V$7,0)),0))</f>
        <v/>
      </c>
      <c r="R17" s="27">
        <f>IF($C17="","",$C17*IF(N($D17)&lt;5,0.5,1)/12)</f>
        <v/>
      </c>
      <c r="S17" s="27">
        <f>IF($C17="","",$C17+M17+N($G17)-N17+Q17+R17)</f>
        <v/>
      </c>
      <c r="T17" s="5" t="n"/>
    </row>
    <row r="18">
      <c r="A18" s="24" t="inlineStr">
        <is>
          <t>Omar Al-Zahrani</t>
        </is>
      </c>
      <c r="B18" s="17" t="inlineStr">
        <is>
          <t>Saudi - existing scheme</t>
        </is>
      </c>
      <c r="C18" s="22" t="n">
        <v>21000</v>
      </c>
      <c r="D18" s="25" t="n">
        <v>8</v>
      </c>
      <c r="E18" s="26" t="n">
        <v>0</v>
      </c>
      <c r="F18" s="26" t="n">
        <v>0</v>
      </c>
      <c r="G18" s="22" t="n">
        <v>1000</v>
      </c>
      <c r="H18" s="22" t="n">
        <v>0</v>
      </c>
      <c r="I18" s="5" t="n"/>
      <c r="J18" s="27">
        <f>IF($C18="","",$C18/(1+$C$4+$C$5))</f>
        <v/>
      </c>
      <c r="K18" s="27">
        <f>IF($C18="","",J18*$C$4)</f>
        <v/>
      </c>
      <c r="L18" s="27">
        <f>IF($C18="","",J18*$C$5)</f>
        <v/>
      </c>
      <c r="M18" s="27">
        <f>IF($C18="","",N($F18)*J18/$C$6/$C$7*(1+$C$8))</f>
        <v/>
      </c>
      <c r="N18" s="27">
        <f>IF($C18="","",N($E18)*$C18/$C$6)</f>
        <v/>
      </c>
      <c r="O18" s="27">
        <f>IF($C18="","",MIN($C$9,J18+K18)*IFERROR(INDEX($W$5:$W$7,MATCH($B18,$V$5:$V$7,0)),0))</f>
        <v/>
      </c>
      <c r="P18" s="28">
        <f>IF($C18="","",$C18+M18+N($G18)-N18-O18-N($H18))</f>
        <v/>
      </c>
      <c r="Q18" s="27">
        <f>IF($C18="","",MIN($C$9,J18+K18)*IFERROR(INDEX($X$5:$X$7,MATCH($B18,$V$5:$V$7,0)),0))</f>
        <v/>
      </c>
      <c r="R18" s="27">
        <f>IF($C18="","",$C18*IF(N($D18)&lt;5,0.5,1)/12)</f>
        <v/>
      </c>
      <c r="S18" s="27">
        <f>IF($C18="","",$C18+M18+N($G18)-N18+Q18+R18)</f>
        <v/>
      </c>
      <c r="T18" s="5" t="n"/>
    </row>
    <row r="19">
      <c r="A19" s="24" t="inlineStr">
        <is>
          <t>Rajesh Kumar</t>
        </is>
      </c>
      <c r="B19" s="17" t="inlineStr">
        <is>
          <t>Non-Saudi</t>
        </is>
      </c>
      <c r="C19" s="22" t="n">
        <v>6200</v>
      </c>
      <c r="D19" s="25" t="n">
        <v>4</v>
      </c>
      <c r="E19" s="26" t="n">
        <v>2</v>
      </c>
      <c r="F19" s="26" t="n">
        <v>12</v>
      </c>
      <c r="G19" s="22" t="n">
        <v>0</v>
      </c>
      <c r="H19" s="22" t="n">
        <v>0</v>
      </c>
      <c r="I19" s="5" t="n"/>
      <c r="J19" s="27">
        <f>IF($C19="","",$C19/(1+$C$4+$C$5))</f>
        <v/>
      </c>
      <c r="K19" s="27">
        <f>IF($C19="","",J19*$C$4)</f>
        <v/>
      </c>
      <c r="L19" s="27">
        <f>IF($C19="","",J19*$C$5)</f>
        <v/>
      </c>
      <c r="M19" s="27">
        <f>IF($C19="","",N($F19)*J19/$C$6/$C$7*(1+$C$8))</f>
        <v/>
      </c>
      <c r="N19" s="27">
        <f>IF($C19="","",N($E19)*$C19/$C$6)</f>
        <v/>
      </c>
      <c r="O19" s="27">
        <f>IF($C19="","",MIN($C$9,J19+K19)*IFERROR(INDEX($W$5:$W$7,MATCH($B19,$V$5:$V$7,0)),0))</f>
        <v/>
      </c>
      <c r="P19" s="28">
        <f>IF($C19="","",$C19+M19+N($G19)-N19-O19-N($H19))</f>
        <v/>
      </c>
      <c r="Q19" s="27">
        <f>IF($C19="","",MIN($C$9,J19+K19)*IFERROR(INDEX($X$5:$X$7,MATCH($B19,$V$5:$V$7,0)),0))</f>
        <v/>
      </c>
      <c r="R19" s="27">
        <f>IF($C19="","",$C19*IF(N($D19)&lt;5,0.5,1)/12)</f>
        <v/>
      </c>
      <c r="S19" s="27">
        <f>IF($C19="","",$C19+M19+N($G19)-N19+Q19+R19)</f>
        <v/>
      </c>
      <c r="T19" s="5" t="n"/>
    </row>
    <row r="20">
      <c r="A20" s="24" t="inlineStr">
        <is>
          <t>Mohammed Iqbal</t>
        </is>
      </c>
      <c r="B20" s="17" t="inlineStr">
        <is>
          <t>Non-Saudi</t>
        </is>
      </c>
      <c r="C20" s="22" t="n">
        <v>5400</v>
      </c>
      <c r="D20" s="25" t="n">
        <v>2.6</v>
      </c>
      <c r="E20" s="26" t="n">
        <v>0</v>
      </c>
      <c r="F20" s="26" t="n">
        <v>15</v>
      </c>
      <c r="G20" s="22" t="n">
        <v>0</v>
      </c>
      <c r="H20" s="22" t="n">
        <v>200</v>
      </c>
      <c r="I20" s="5" t="n"/>
      <c r="J20" s="27">
        <f>IF($C20="","",$C20/(1+$C$4+$C$5))</f>
        <v/>
      </c>
      <c r="K20" s="27">
        <f>IF($C20="","",J20*$C$4)</f>
        <v/>
      </c>
      <c r="L20" s="27">
        <f>IF($C20="","",J20*$C$5)</f>
        <v/>
      </c>
      <c r="M20" s="27">
        <f>IF($C20="","",N($F20)*J20/$C$6/$C$7*(1+$C$8))</f>
        <v/>
      </c>
      <c r="N20" s="27">
        <f>IF($C20="","",N($E20)*$C20/$C$6)</f>
        <v/>
      </c>
      <c r="O20" s="27">
        <f>IF($C20="","",MIN($C$9,J20+K20)*IFERROR(INDEX($W$5:$W$7,MATCH($B20,$V$5:$V$7,0)),0))</f>
        <v/>
      </c>
      <c r="P20" s="28">
        <f>IF($C20="","",$C20+M20+N($G20)-N20-O20-N($H20))</f>
        <v/>
      </c>
      <c r="Q20" s="27">
        <f>IF($C20="","",MIN($C$9,J20+K20)*IFERROR(INDEX($X$5:$X$7,MATCH($B20,$V$5:$V$7,0)),0))</f>
        <v/>
      </c>
      <c r="R20" s="27">
        <f>IF($C20="","",$C20*IF(N($D20)&lt;5,0.5,1)/12)</f>
        <v/>
      </c>
      <c r="S20" s="27">
        <f>IF($C20="","",$C20+M20+N($G20)-N20+Q20+R20)</f>
        <v/>
      </c>
      <c r="T20" s="5" t="n"/>
    </row>
    <row r="21">
      <c r="A21" s="24" t="inlineStr">
        <is>
          <t>Turki Al-Anazi</t>
        </is>
      </c>
      <c r="B21" s="17" t="inlineStr">
        <is>
          <t>Saudi - new scheme (after Jul 2024)</t>
        </is>
      </c>
      <c r="C21" s="22" t="n">
        <v>6800</v>
      </c>
      <c r="D21" s="25" t="n">
        <v>1.6</v>
      </c>
      <c r="E21" s="26" t="n">
        <v>0</v>
      </c>
      <c r="F21" s="26" t="n">
        <v>0</v>
      </c>
      <c r="G21" s="22" t="n">
        <v>0</v>
      </c>
      <c r="H21" s="22" t="n">
        <v>0</v>
      </c>
      <c r="I21" s="5" t="n"/>
      <c r="J21" s="27">
        <f>IF($C21="","",$C21/(1+$C$4+$C$5))</f>
        <v/>
      </c>
      <c r="K21" s="27">
        <f>IF($C21="","",J21*$C$4)</f>
        <v/>
      </c>
      <c r="L21" s="27">
        <f>IF($C21="","",J21*$C$5)</f>
        <v/>
      </c>
      <c r="M21" s="27">
        <f>IF($C21="","",N($F21)*J21/$C$6/$C$7*(1+$C$8))</f>
        <v/>
      </c>
      <c r="N21" s="27">
        <f>IF($C21="","",N($E21)*$C21/$C$6)</f>
        <v/>
      </c>
      <c r="O21" s="27">
        <f>IF($C21="","",MIN($C$9,J21+K21)*IFERROR(INDEX($W$5:$W$7,MATCH($B21,$V$5:$V$7,0)),0))</f>
        <v/>
      </c>
      <c r="P21" s="28">
        <f>IF($C21="","",$C21+M21+N($G21)-N21-O21-N($H21))</f>
        <v/>
      </c>
      <c r="Q21" s="27">
        <f>IF($C21="","",MIN($C$9,J21+K21)*IFERROR(INDEX($X$5:$X$7,MATCH($B21,$V$5:$V$7,0)),0))</f>
        <v/>
      </c>
      <c r="R21" s="27">
        <f>IF($C21="","",$C21*IF(N($D21)&lt;5,0.5,1)/12)</f>
        <v/>
      </c>
      <c r="S21" s="27">
        <f>IF($C21="","",$C21+M21+N($G21)-N21+Q21+R21)</f>
        <v/>
      </c>
      <c r="T21" s="5" t="n"/>
    </row>
    <row r="22">
      <c r="A22" s="24" t="inlineStr">
        <is>
          <t>Nayef Al-Ghamdi</t>
        </is>
      </c>
      <c r="B22" s="17" t="inlineStr">
        <is>
          <t>Saudi - existing scheme</t>
        </is>
      </c>
      <c r="C22" s="22" t="n">
        <v>26000</v>
      </c>
      <c r="D22" s="25" t="n">
        <v>9.4</v>
      </c>
      <c r="E22" s="26" t="n">
        <v>0</v>
      </c>
      <c r="F22" s="26" t="n">
        <v>0</v>
      </c>
      <c r="G22" s="22" t="n">
        <v>1500</v>
      </c>
      <c r="H22" s="22" t="n">
        <v>0</v>
      </c>
      <c r="I22" s="5" t="n"/>
      <c r="J22" s="27">
        <f>IF($C22="","",$C22/(1+$C$4+$C$5))</f>
        <v/>
      </c>
      <c r="K22" s="27">
        <f>IF($C22="","",J22*$C$4)</f>
        <v/>
      </c>
      <c r="L22" s="27">
        <f>IF($C22="","",J22*$C$5)</f>
        <v/>
      </c>
      <c r="M22" s="27">
        <f>IF($C22="","",N($F22)*J22/$C$6/$C$7*(1+$C$8))</f>
        <v/>
      </c>
      <c r="N22" s="27">
        <f>IF($C22="","",N($E22)*$C22/$C$6)</f>
        <v/>
      </c>
      <c r="O22" s="27">
        <f>IF($C22="","",MIN($C$9,J22+K22)*IFERROR(INDEX($W$5:$W$7,MATCH($B22,$V$5:$V$7,0)),0))</f>
        <v/>
      </c>
      <c r="P22" s="28">
        <f>IF($C22="","",$C22+M22+N($G22)-N22-O22-N($H22))</f>
        <v/>
      </c>
      <c r="Q22" s="27">
        <f>IF($C22="","",MIN($C$9,J22+K22)*IFERROR(INDEX($X$5:$X$7,MATCH($B22,$V$5:$V$7,0)),0))</f>
        <v/>
      </c>
      <c r="R22" s="27">
        <f>IF($C22="","",$C22*IF(N($D22)&lt;5,0.5,1)/12)</f>
        <v/>
      </c>
      <c r="S22" s="27">
        <f>IF($C22="","",$C22+M22+N($G22)-N22+Q22+R22)</f>
        <v/>
      </c>
      <c r="T22" s="5" t="n"/>
    </row>
    <row r="23">
      <c r="A23" s="24" t="inlineStr">
        <is>
          <t>Ahmed Hussein</t>
        </is>
      </c>
      <c r="B23" s="17" t="inlineStr">
        <is>
          <t>Non-Saudi</t>
        </is>
      </c>
      <c r="C23" s="22" t="n">
        <v>7200</v>
      </c>
      <c r="D23" s="25" t="n">
        <v>5.5</v>
      </c>
      <c r="E23" s="26" t="n">
        <v>0</v>
      </c>
      <c r="F23" s="26" t="n">
        <v>20</v>
      </c>
      <c r="G23" s="22" t="n">
        <v>0</v>
      </c>
      <c r="H23" s="22" t="n">
        <v>0</v>
      </c>
      <c r="I23" s="5" t="n"/>
      <c r="J23" s="27">
        <f>IF($C23="","",$C23/(1+$C$4+$C$5))</f>
        <v/>
      </c>
      <c r="K23" s="27">
        <f>IF($C23="","",J23*$C$4)</f>
        <v/>
      </c>
      <c r="L23" s="27">
        <f>IF($C23="","",J23*$C$5)</f>
        <v/>
      </c>
      <c r="M23" s="27">
        <f>IF($C23="","",N($F23)*J23/$C$6/$C$7*(1+$C$8))</f>
        <v/>
      </c>
      <c r="N23" s="27">
        <f>IF($C23="","",N($E23)*$C23/$C$6)</f>
        <v/>
      </c>
      <c r="O23" s="27">
        <f>IF($C23="","",MIN($C$9,J23+K23)*IFERROR(INDEX($W$5:$W$7,MATCH($B23,$V$5:$V$7,0)),0))</f>
        <v/>
      </c>
      <c r="P23" s="28">
        <f>IF($C23="","",$C23+M23+N($G23)-N23-O23-N($H23))</f>
        <v/>
      </c>
      <c r="Q23" s="27">
        <f>IF($C23="","",MIN($C$9,J23+K23)*IFERROR(INDEX($X$5:$X$7,MATCH($B23,$V$5:$V$7,0)),0))</f>
        <v/>
      </c>
      <c r="R23" s="27">
        <f>IF($C23="","",$C23*IF(N($D23)&lt;5,0.5,1)/12)</f>
        <v/>
      </c>
      <c r="S23" s="27">
        <f>IF($C23="","",$C23+M23+N($G23)-N23+Q23+R23)</f>
        <v/>
      </c>
      <c r="T23" s="5" t="n"/>
    </row>
    <row r="24">
      <c r="A24" s="24" t="inlineStr">
        <is>
          <t>Salman Al-Juhani</t>
        </is>
      </c>
      <c r="B24" s="17" t="inlineStr">
        <is>
          <t>Saudi - new scheme (after Jul 2024)</t>
        </is>
      </c>
      <c r="C24" s="22" t="n">
        <v>8200</v>
      </c>
      <c r="D24" s="25" t="n">
        <v>4.1</v>
      </c>
      <c r="E24" s="26" t="n">
        <v>0</v>
      </c>
      <c r="F24" s="26" t="n">
        <v>4</v>
      </c>
      <c r="G24" s="22" t="n">
        <v>0</v>
      </c>
      <c r="H24" s="22" t="n">
        <v>600</v>
      </c>
      <c r="I24" s="5" t="n"/>
      <c r="J24" s="27">
        <f>IF($C24="","",$C24/(1+$C$4+$C$5))</f>
        <v/>
      </c>
      <c r="K24" s="27">
        <f>IF($C24="","",J24*$C$4)</f>
        <v/>
      </c>
      <c r="L24" s="27">
        <f>IF($C24="","",J24*$C$5)</f>
        <v/>
      </c>
      <c r="M24" s="27">
        <f>IF($C24="","",N($F24)*J24/$C$6/$C$7*(1+$C$8))</f>
        <v/>
      </c>
      <c r="N24" s="27">
        <f>IF($C24="","",N($E24)*$C24/$C$6)</f>
        <v/>
      </c>
      <c r="O24" s="27">
        <f>IF($C24="","",MIN($C$9,J24+K24)*IFERROR(INDEX($W$5:$W$7,MATCH($B24,$V$5:$V$7,0)),0))</f>
        <v/>
      </c>
      <c r="P24" s="28">
        <f>IF($C24="","",$C24+M24+N($G24)-N24-O24-N($H24))</f>
        <v/>
      </c>
      <c r="Q24" s="27">
        <f>IF($C24="","",MIN($C$9,J24+K24)*IFERROR(INDEX($X$5:$X$7,MATCH($B24,$V$5:$V$7,0)),0))</f>
        <v/>
      </c>
      <c r="R24" s="27">
        <f>IF($C24="","",$C24*IF(N($D24)&lt;5,0.5,1)/12)</f>
        <v/>
      </c>
      <c r="S24" s="27">
        <f>IF($C24="","",$C24+M24+N($G24)-N24+Q24+R24)</f>
        <v/>
      </c>
      <c r="T24" s="5" t="n"/>
    </row>
    <row r="25">
      <c r="A25" s="24" t="n"/>
      <c r="B25" s="17" t="n"/>
      <c r="C25" s="22" t="n"/>
      <c r="D25" s="25" t="n"/>
      <c r="E25" s="26" t="n"/>
      <c r="F25" s="26" t="n"/>
      <c r="G25" s="22" t="n"/>
      <c r="H25" s="22" t="n"/>
      <c r="I25" s="5" t="n"/>
      <c r="J25" s="27">
        <f>IF($C25="","",$C25/(1+$C$4+$C$5))</f>
        <v/>
      </c>
      <c r="K25" s="27">
        <f>IF($C25="","",J25*$C$4)</f>
        <v/>
      </c>
      <c r="L25" s="27">
        <f>IF($C25="","",J25*$C$5)</f>
        <v/>
      </c>
      <c r="M25" s="27">
        <f>IF($C25="","",N($F25)*J25/$C$6/$C$7*(1+$C$8))</f>
        <v/>
      </c>
      <c r="N25" s="27">
        <f>IF($C25="","",N($E25)*$C25/$C$6)</f>
        <v/>
      </c>
      <c r="O25" s="27">
        <f>IF($C25="","",MIN($C$9,J25+K25)*IFERROR(INDEX($W$5:$W$7,MATCH($B25,$V$5:$V$7,0)),0))</f>
        <v/>
      </c>
      <c r="P25" s="28">
        <f>IF($C25="","",$C25+M25+N($G25)-N25-O25-N($H25))</f>
        <v/>
      </c>
      <c r="Q25" s="27">
        <f>IF($C25="","",MIN($C$9,J25+K25)*IFERROR(INDEX($X$5:$X$7,MATCH($B25,$V$5:$V$7,0)),0))</f>
        <v/>
      </c>
      <c r="R25" s="27">
        <f>IF($C25="","",$C25*IF(N($D25)&lt;5,0.5,1)/12)</f>
        <v/>
      </c>
      <c r="S25" s="27">
        <f>IF($C25="","",$C25+M25+N($G25)-N25+Q25+R25)</f>
        <v/>
      </c>
      <c r="T25" s="5" t="n"/>
    </row>
    <row r="26">
      <c r="A26" s="24" t="n"/>
      <c r="B26" s="17" t="n"/>
      <c r="C26" s="22" t="n"/>
      <c r="D26" s="25" t="n"/>
      <c r="E26" s="26" t="n"/>
      <c r="F26" s="26" t="n"/>
      <c r="G26" s="22" t="n"/>
      <c r="H26" s="22" t="n"/>
      <c r="I26" s="5" t="n"/>
      <c r="J26" s="27">
        <f>IF($C26="","",$C26/(1+$C$4+$C$5))</f>
        <v/>
      </c>
      <c r="K26" s="27">
        <f>IF($C26="","",J26*$C$4)</f>
        <v/>
      </c>
      <c r="L26" s="27">
        <f>IF($C26="","",J26*$C$5)</f>
        <v/>
      </c>
      <c r="M26" s="27">
        <f>IF($C26="","",N($F26)*J26/$C$6/$C$7*(1+$C$8))</f>
        <v/>
      </c>
      <c r="N26" s="27">
        <f>IF($C26="","",N($E26)*$C26/$C$6)</f>
        <v/>
      </c>
      <c r="O26" s="27">
        <f>IF($C26="","",MIN($C$9,J26+K26)*IFERROR(INDEX($W$5:$W$7,MATCH($B26,$V$5:$V$7,0)),0))</f>
        <v/>
      </c>
      <c r="P26" s="28">
        <f>IF($C26="","",$C26+M26+N($G26)-N26-O26-N($H26))</f>
        <v/>
      </c>
      <c r="Q26" s="27">
        <f>IF($C26="","",MIN($C$9,J26+K26)*IFERROR(INDEX($X$5:$X$7,MATCH($B26,$V$5:$V$7,0)),0))</f>
        <v/>
      </c>
      <c r="R26" s="27">
        <f>IF($C26="","",$C26*IF(N($D26)&lt;5,0.5,1)/12)</f>
        <v/>
      </c>
      <c r="S26" s="27">
        <f>IF($C26="","",$C26+M26+N($G26)-N26+Q26+R26)</f>
        <v/>
      </c>
      <c r="T26" s="5" t="n"/>
    </row>
    <row r="27">
      <c r="A27" s="24" t="n"/>
      <c r="B27" s="17" t="n"/>
      <c r="C27" s="22" t="n"/>
      <c r="D27" s="25" t="n"/>
      <c r="E27" s="26" t="n"/>
      <c r="F27" s="26" t="n"/>
      <c r="G27" s="22" t="n"/>
      <c r="H27" s="22" t="n"/>
      <c r="I27" s="5" t="n"/>
      <c r="J27" s="27">
        <f>IF($C27="","",$C27/(1+$C$4+$C$5))</f>
        <v/>
      </c>
      <c r="K27" s="27">
        <f>IF($C27="","",J27*$C$4)</f>
        <v/>
      </c>
      <c r="L27" s="27">
        <f>IF($C27="","",J27*$C$5)</f>
        <v/>
      </c>
      <c r="M27" s="27">
        <f>IF($C27="","",N($F27)*J27/$C$6/$C$7*(1+$C$8))</f>
        <v/>
      </c>
      <c r="N27" s="27">
        <f>IF($C27="","",N($E27)*$C27/$C$6)</f>
        <v/>
      </c>
      <c r="O27" s="27">
        <f>IF($C27="","",MIN($C$9,J27+K27)*IFERROR(INDEX($W$5:$W$7,MATCH($B27,$V$5:$V$7,0)),0))</f>
        <v/>
      </c>
      <c r="P27" s="28">
        <f>IF($C27="","",$C27+M27+N($G27)-N27-O27-N($H27))</f>
        <v/>
      </c>
      <c r="Q27" s="27">
        <f>IF($C27="","",MIN($C$9,J27+K27)*IFERROR(INDEX($X$5:$X$7,MATCH($B27,$V$5:$V$7,0)),0))</f>
        <v/>
      </c>
      <c r="R27" s="27">
        <f>IF($C27="","",$C27*IF(N($D27)&lt;5,0.5,1)/12)</f>
        <v/>
      </c>
      <c r="S27" s="27">
        <f>IF($C27="","",$C27+M27+N($G27)-N27+Q27+R27)</f>
        <v/>
      </c>
      <c r="T27" s="5" t="n"/>
    </row>
    <row r="28">
      <c r="A28" s="24" t="n"/>
      <c r="B28" s="17" t="n"/>
      <c r="C28" s="22" t="n"/>
      <c r="D28" s="25" t="n"/>
      <c r="E28" s="26" t="n"/>
      <c r="F28" s="26" t="n"/>
      <c r="G28" s="22" t="n"/>
      <c r="H28" s="22" t="n"/>
      <c r="I28" s="5" t="n"/>
      <c r="J28" s="27">
        <f>IF($C28="","",$C28/(1+$C$4+$C$5))</f>
        <v/>
      </c>
      <c r="K28" s="27">
        <f>IF($C28="","",J28*$C$4)</f>
        <v/>
      </c>
      <c r="L28" s="27">
        <f>IF($C28="","",J28*$C$5)</f>
        <v/>
      </c>
      <c r="M28" s="27">
        <f>IF($C28="","",N($F28)*J28/$C$6/$C$7*(1+$C$8))</f>
        <v/>
      </c>
      <c r="N28" s="27">
        <f>IF($C28="","",N($E28)*$C28/$C$6)</f>
        <v/>
      </c>
      <c r="O28" s="27">
        <f>IF($C28="","",MIN($C$9,J28+K28)*IFERROR(INDEX($W$5:$W$7,MATCH($B28,$V$5:$V$7,0)),0))</f>
        <v/>
      </c>
      <c r="P28" s="28">
        <f>IF($C28="","",$C28+M28+N($G28)-N28-O28-N($H28))</f>
        <v/>
      </c>
      <c r="Q28" s="27">
        <f>IF($C28="","",MIN($C$9,J28+K28)*IFERROR(INDEX($X$5:$X$7,MATCH($B28,$V$5:$V$7,0)),0))</f>
        <v/>
      </c>
      <c r="R28" s="27">
        <f>IF($C28="","",$C28*IF(N($D28)&lt;5,0.5,1)/12)</f>
        <v/>
      </c>
      <c r="S28" s="27">
        <f>IF($C28="","",$C28+M28+N($G28)-N28+Q28+R28)</f>
        <v/>
      </c>
      <c r="T28" s="5" t="n"/>
    </row>
    <row r="29">
      <c r="A29" s="24" t="n"/>
      <c r="B29" s="17" t="n"/>
      <c r="C29" s="22" t="n"/>
      <c r="D29" s="25" t="n"/>
      <c r="E29" s="26" t="n"/>
      <c r="F29" s="26" t="n"/>
      <c r="G29" s="22" t="n"/>
      <c r="H29" s="22" t="n"/>
      <c r="I29" s="5" t="n"/>
      <c r="J29" s="27">
        <f>IF($C29="","",$C29/(1+$C$4+$C$5))</f>
        <v/>
      </c>
      <c r="K29" s="27">
        <f>IF($C29="","",J29*$C$4)</f>
        <v/>
      </c>
      <c r="L29" s="27">
        <f>IF($C29="","",J29*$C$5)</f>
        <v/>
      </c>
      <c r="M29" s="27">
        <f>IF($C29="","",N($F29)*J29/$C$6/$C$7*(1+$C$8))</f>
        <v/>
      </c>
      <c r="N29" s="27">
        <f>IF($C29="","",N($E29)*$C29/$C$6)</f>
        <v/>
      </c>
      <c r="O29" s="27">
        <f>IF($C29="","",MIN($C$9,J29+K29)*IFERROR(INDEX($W$5:$W$7,MATCH($B29,$V$5:$V$7,0)),0))</f>
        <v/>
      </c>
      <c r="P29" s="28">
        <f>IF($C29="","",$C29+M29+N($G29)-N29-O29-N($H29))</f>
        <v/>
      </c>
      <c r="Q29" s="27">
        <f>IF($C29="","",MIN($C$9,J29+K29)*IFERROR(INDEX($X$5:$X$7,MATCH($B29,$V$5:$V$7,0)),0))</f>
        <v/>
      </c>
      <c r="R29" s="27">
        <f>IF($C29="","",$C29*IF(N($D29)&lt;5,0.5,1)/12)</f>
        <v/>
      </c>
      <c r="S29" s="27">
        <f>IF($C29="","",$C29+M29+N($G29)-N29+Q29+R29)</f>
        <v/>
      </c>
      <c r="T29" s="5" t="n"/>
    </row>
    <row r="30">
      <c r="A30" s="24" t="n"/>
      <c r="B30" s="17" t="n"/>
      <c r="C30" s="22" t="n"/>
      <c r="D30" s="25" t="n"/>
      <c r="E30" s="26" t="n"/>
      <c r="F30" s="26" t="n"/>
      <c r="G30" s="22" t="n"/>
      <c r="H30" s="22" t="n"/>
      <c r="I30" s="5" t="n"/>
      <c r="J30" s="27">
        <f>IF($C30="","",$C30/(1+$C$4+$C$5))</f>
        <v/>
      </c>
      <c r="K30" s="27">
        <f>IF($C30="","",J30*$C$4)</f>
        <v/>
      </c>
      <c r="L30" s="27">
        <f>IF($C30="","",J30*$C$5)</f>
        <v/>
      </c>
      <c r="M30" s="27">
        <f>IF($C30="","",N($F30)*J30/$C$6/$C$7*(1+$C$8))</f>
        <v/>
      </c>
      <c r="N30" s="27">
        <f>IF($C30="","",N($E30)*$C30/$C$6)</f>
        <v/>
      </c>
      <c r="O30" s="27">
        <f>IF($C30="","",MIN($C$9,J30+K30)*IFERROR(INDEX($W$5:$W$7,MATCH($B30,$V$5:$V$7,0)),0))</f>
        <v/>
      </c>
      <c r="P30" s="28">
        <f>IF($C30="","",$C30+M30+N($G30)-N30-O30-N($H30))</f>
        <v/>
      </c>
      <c r="Q30" s="27">
        <f>IF($C30="","",MIN($C$9,J30+K30)*IFERROR(INDEX($X$5:$X$7,MATCH($B30,$V$5:$V$7,0)),0))</f>
        <v/>
      </c>
      <c r="R30" s="27">
        <f>IF($C30="","",$C30*IF(N($D30)&lt;5,0.5,1)/12)</f>
        <v/>
      </c>
      <c r="S30" s="27">
        <f>IF($C30="","",$C30+M30+N($G30)-N30+Q30+R30)</f>
        <v/>
      </c>
      <c r="T30" s="5" t="n"/>
    </row>
    <row r="31">
      <c r="A31" s="24" t="n"/>
      <c r="B31" s="17" t="n"/>
      <c r="C31" s="22" t="n"/>
      <c r="D31" s="25" t="n"/>
      <c r="E31" s="26" t="n"/>
      <c r="F31" s="26" t="n"/>
      <c r="G31" s="22" t="n"/>
      <c r="H31" s="22" t="n"/>
      <c r="I31" s="5" t="n"/>
      <c r="J31" s="27">
        <f>IF($C31="","",$C31/(1+$C$4+$C$5))</f>
        <v/>
      </c>
      <c r="K31" s="27">
        <f>IF($C31="","",J31*$C$4)</f>
        <v/>
      </c>
      <c r="L31" s="27">
        <f>IF($C31="","",J31*$C$5)</f>
        <v/>
      </c>
      <c r="M31" s="27">
        <f>IF($C31="","",N($F31)*J31/$C$6/$C$7*(1+$C$8))</f>
        <v/>
      </c>
      <c r="N31" s="27">
        <f>IF($C31="","",N($E31)*$C31/$C$6)</f>
        <v/>
      </c>
      <c r="O31" s="27">
        <f>IF($C31="","",MIN($C$9,J31+K31)*IFERROR(INDEX($W$5:$W$7,MATCH($B31,$V$5:$V$7,0)),0))</f>
        <v/>
      </c>
      <c r="P31" s="28">
        <f>IF($C31="","",$C31+M31+N($G31)-N31-O31-N($H31))</f>
        <v/>
      </c>
      <c r="Q31" s="27">
        <f>IF($C31="","",MIN($C$9,J31+K31)*IFERROR(INDEX($X$5:$X$7,MATCH($B31,$V$5:$V$7,0)),0))</f>
        <v/>
      </c>
      <c r="R31" s="27">
        <f>IF($C31="","",$C31*IF(N($D31)&lt;5,0.5,1)/12)</f>
        <v/>
      </c>
      <c r="S31" s="27">
        <f>IF($C31="","",$C31+M31+N($G31)-N31+Q31+R31)</f>
        <v/>
      </c>
      <c r="T31" s="5" t="n"/>
    </row>
    <row r="32">
      <c r="A32" s="24" t="n"/>
      <c r="B32" s="17" t="n"/>
      <c r="C32" s="22" t="n"/>
      <c r="D32" s="25" t="n"/>
      <c r="E32" s="26" t="n"/>
      <c r="F32" s="26" t="n"/>
      <c r="G32" s="22" t="n"/>
      <c r="H32" s="22" t="n"/>
      <c r="I32" s="5" t="n"/>
      <c r="J32" s="27">
        <f>IF($C32="","",$C32/(1+$C$4+$C$5))</f>
        <v/>
      </c>
      <c r="K32" s="27">
        <f>IF($C32="","",J32*$C$4)</f>
        <v/>
      </c>
      <c r="L32" s="27">
        <f>IF($C32="","",J32*$C$5)</f>
        <v/>
      </c>
      <c r="M32" s="27">
        <f>IF($C32="","",N($F32)*J32/$C$6/$C$7*(1+$C$8))</f>
        <v/>
      </c>
      <c r="N32" s="27">
        <f>IF($C32="","",N($E32)*$C32/$C$6)</f>
        <v/>
      </c>
      <c r="O32" s="27">
        <f>IF($C32="","",MIN($C$9,J32+K32)*IFERROR(INDEX($W$5:$W$7,MATCH($B32,$V$5:$V$7,0)),0))</f>
        <v/>
      </c>
      <c r="P32" s="28">
        <f>IF($C32="","",$C32+M32+N($G32)-N32-O32-N($H32))</f>
        <v/>
      </c>
      <c r="Q32" s="27">
        <f>IF($C32="","",MIN($C$9,J32+K32)*IFERROR(INDEX($X$5:$X$7,MATCH($B32,$V$5:$V$7,0)),0))</f>
        <v/>
      </c>
      <c r="R32" s="27">
        <f>IF($C32="","",$C32*IF(N($D32)&lt;5,0.5,1)/12)</f>
        <v/>
      </c>
      <c r="S32" s="27">
        <f>IF($C32="","",$C32+M32+N($G32)-N32+Q32+R32)</f>
        <v/>
      </c>
      <c r="T32" s="5" t="n"/>
    </row>
    <row r="33">
      <c r="A33" s="24" t="n"/>
      <c r="B33" s="17" t="n"/>
      <c r="C33" s="22" t="n"/>
      <c r="D33" s="25" t="n"/>
      <c r="E33" s="26" t="n"/>
      <c r="F33" s="26" t="n"/>
      <c r="G33" s="22" t="n"/>
      <c r="H33" s="22" t="n"/>
      <c r="I33" s="5" t="n"/>
      <c r="J33" s="27">
        <f>IF($C33="","",$C33/(1+$C$4+$C$5))</f>
        <v/>
      </c>
      <c r="K33" s="27">
        <f>IF($C33="","",J33*$C$4)</f>
        <v/>
      </c>
      <c r="L33" s="27">
        <f>IF($C33="","",J33*$C$5)</f>
        <v/>
      </c>
      <c r="M33" s="27">
        <f>IF($C33="","",N($F33)*J33/$C$6/$C$7*(1+$C$8))</f>
        <v/>
      </c>
      <c r="N33" s="27">
        <f>IF($C33="","",N($E33)*$C33/$C$6)</f>
        <v/>
      </c>
      <c r="O33" s="27">
        <f>IF($C33="","",MIN($C$9,J33+K33)*IFERROR(INDEX($W$5:$W$7,MATCH($B33,$V$5:$V$7,0)),0))</f>
        <v/>
      </c>
      <c r="P33" s="28">
        <f>IF($C33="","",$C33+M33+N($G33)-N33-O33-N($H33))</f>
        <v/>
      </c>
      <c r="Q33" s="27">
        <f>IF($C33="","",MIN($C$9,J33+K33)*IFERROR(INDEX($X$5:$X$7,MATCH($B33,$V$5:$V$7,0)),0))</f>
        <v/>
      </c>
      <c r="R33" s="27">
        <f>IF($C33="","",$C33*IF(N($D33)&lt;5,0.5,1)/12)</f>
        <v/>
      </c>
      <c r="S33" s="27">
        <f>IF($C33="","",$C33+M33+N($G33)-N33+Q33+R33)</f>
        <v/>
      </c>
      <c r="T33" s="5" t="n"/>
    </row>
    <row r="34">
      <c r="A34" s="24" t="n"/>
      <c r="B34" s="17" t="n"/>
      <c r="C34" s="22" t="n"/>
      <c r="D34" s="25" t="n"/>
      <c r="E34" s="26" t="n"/>
      <c r="F34" s="26" t="n"/>
      <c r="G34" s="22" t="n"/>
      <c r="H34" s="22" t="n"/>
      <c r="I34" s="5" t="n"/>
      <c r="J34" s="27">
        <f>IF($C34="","",$C34/(1+$C$4+$C$5))</f>
        <v/>
      </c>
      <c r="K34" s="27">
        <f>IF($C34="","",J34*$C$4)</f>
        <v/>
      </c>
      <c r="L34" s="27">
        <f>IF($C34="","",J34*$C$5)</f>
        <v/>
      </c>
      <c r="M34" s="27">
        <f>IF($C34="","",N($F34)*J34/$C$6/$C$7*(1+$C$8))</f>
        <v/>
      </c>
      <c r="N34" s="27">
        <f>IF($C34="","",N($E34)*$C34/$C$6)</f>
        <v/>
      </c>
      <c r="O34" s="27">
        <f>IF($C34="","",MIN($C$9,J34+K34)*IFERROR(INDEX($W$5:$W$7,MATCH($B34,$V$5:$V$7,0)),0))</f>
        <v/>
      </c>
      <c r="P34" s="28">
        <f>IF($C34="","",$C34+M34+N($G34)-N34-O34-N($H34))</f>
        <v/>
      </c>
      <c r="Q34" s="27">
        <f>IF($C34="","",MIN($C$9,J34+K34)*IFERROR(INDEX($X$5:$X$7,MATCH($B34,$V$5:$V$7,0)),0))</f>
        <v/>
      </c>
      <c r="R34" s="27">
        <f>IF($C34="","",$C34*IF(N($D34)&lt;5,0.5,1)/12)</f>
        <v/>
      </c>
      <c r="S34" s="27">
        <f>IF($C34="","",$C34+M34+N($G34)-N34+Q34+R34)</f>
        <v/>
      </c>
      <c r="T34" s="5" t="n"/>
    </row>
    <row r="35">
      <c r="A35" s="24" t="n"/>
      <c r="B35" s="17" t="n"/>
      <c r="C35" s="22" t="n"/>
      <c r="D35" s="25" t="n"/>
      <c r="E35" s="26" t="n"/>
      <c r="F35" s="26" t="n"/>
      <c r="G35" s="22" t="n"/>
      <c r="H35" s="22" t="n"/>
      <c r="I35" s="5" t="n"/>
      <c r="J35" s="27">
        <f>IF($C35="","",$C35/(1+$C$4+$C$5))</f>
        <v/>
      </c>
      <c r="K35" s="27">
        <f>IF($C35="","",J35*$C$4)</f>
        <v/>
      </c>
      <c r="L35" s="27">
        <f>IF($C35="","",J35*$C$5)</f>
        <v/>
      </c>
      <c r="M35" s="27">
        <f>IF($C35="","",N($F35)*J35/$C$6/$C$7*(1+$C$8))</f>
        <v/>
      </c>
      <c r="N35" s="27">
        <f>IF($C35="","",N($E35)*$C35/$C$6)</f>
        <v/>
      </c>
      <c r="O35" s="27">
        <f>IF($C35="","",MIN($C$9,J35+K35)*IFERROR(INDEX($W$5:$W$7,MATCH($B35,$V$5:$V$7,0)),0))</f>
        <v/>
      </c>
      <c r="P35" s="28">
        <f>IF($C35="","",$C35+M35+N($G35)-N35-O35-N($H35))</f>
        <v/>
      </c>
      <c r="Q35" s="27">
        <f>IF($C35="","",MIN($C$9,J35+K35)*IFERROR(INDEX($X$5:$X$7,MATCH($B35,$V$5:$V$7,0)),0))</f>
        <v/>
      </c>
      <c r="R35" s="27">
        <f>IF($C35="","",$C35*IF(N($D35)&lt;5,0.5,1)/12)</f>
        <v/>
      </c>
      <c r="S35" s="27">
        <f>IF($C35="","",$C35+M35+N($G35)-N35+Q35+R35)</f>
        <v/>
      </c>
      <c r="T35" s="5" t="n"/>
    </row>
    <row r="36">
      <c r="A36" s="24" t="n"/>
      <c r="B36" s="17" t="n"/>
      <c r="C36" s="22" t="n"/>
      <c r="D36" s="25" t="n"/>
      <c r="E36" s="26" t="n"/>
      <c r="F36" s="26" t="n"/>
      <c r="G36" s="22" t="n"/>
      <c r="H36" s="22" t="n"/>
      <c r="I36" s="5" t="n"/>
      <c r="J36" s="27">
        <f>IF($C36="","",$C36/(1+$C$4+$C$5))</f>
        <v/>
      </c>
      <c r="K36" s="27">
        <f>IF($C36="","",J36*$C$4)</f>
        <v/>
      </c>
      <c r="L36" s="27">
        <f>IF($C36="","",J36*$C$5)</f>
        <v/>
      </c>
      <c r="M36" s="27">
        <f>IF($C36="","",N($F36)*J36/$C$6/$C$7*(1+$C$8))</f>
        <v/>
      </c>
      <c r="N36" s="27">
        <f>IF($C36="","",N($E36)*$C36/$C$6)</f>
        <v/>
      </c>
      <c r="O36" s="27">
        <f>IF($C36="","",MIN($C$9,J36+K36)*IFERROR(INDEX($W$5:$W$7,MATCH($B36,$V$5:$V$7,0)),0))</f>
        <v/>
      </c>
      <c r="P36" s="28">
        <f>IF($C36="","",$C36+M36+N($G36)-N36-O36-N($H36))</f>
        <v/>
      </c>
      <c r="Q36" s="27">
        <f>IF($C36="","",MIN($C$9,J36+K36)*IFERROR(INDEX($X$5:$X$7,MATCH($B36,$V$5:$V$7,0)),0))</f>
        <v/>
      </c>
      <c r="R36" s="27">
        <f>IF($C36="","",$C36*IF(N($D36)&lt;5,0.5,1)/12)</f>
        <v/>
      </c>
      <c r="S36" s="27">
        <f>IF($C36="","",$C36+M36+N($G36)-N36+Q36+R36)</f>
        <v/>
      </c>
      <c r="T36" s="5" t="n"/>
    </row>
    <row r="37">
      <c r="A37" s="29" t="inlineStr">
        <is>
          <t>Total</t>
        </is>
      </c>
      <c r="B37" s="30" t="n"/>
      <c r="C37" s="31">
        <f>SUM(C13:C36)</f>
        <v/>
      </c>
      <c r="D37" s="30" t="n"/>
      <c r="E37" s="30" t="n"/>
      <c r="F37" s="30" t="n"/>
      <c r="G37" s="31">
        <f>SUM(G13:G36)</f>
        <v/>
      </c>
      <c r="H37" s="31">
        <f>SUM(H13:H36)</f>
        <v/>
      </c>
      <c r="I37" s="5" t="n"/>
      <c r="J37" s="31">
        <f>SUM(J13:J36)</f>
        <v/>
      </c>
      <c r="K37" s="31">
        <f>SUM(K13:K36)</f>
        <v/>
      </c>
      <c r="L37" s="31">
        <f>SUM(L13:L36)</f>
        <v/>
      </c>
      <c r="M37" s="31">
        <f>SUM(M13:M36)</f>
        <v/>
      </c>
      <c r="N37" s="31">
        <f>SUM(N13:N36)</f>
        <v/>
      </c>
      <c r="O37" s="31">
        <f>SUM(O13:O36)</f>
        <v/>
      </c>
      <c r="P37" s="31">
        <f>SUM(P13:P36)</f>
        <v/>
      </c>
      <c r="Q37" s="31">
        <f>SUM(Q13:Q36)</f>
        <v/>
      </c>
      <c r="R37" s="31">
        <f>SUM(R13:R36)</f>
        <v/>
      </c>
      <c r="S37" s="31">
        <f>SUM(S13:S36)</f>
        <v/>
      </c>
      <c r="T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V10:X10"/>
    <mergeCell ref="Q5:S5"/>
    <mergeCell ref="Q4:S4"/>
    <mergeCell ref="N5:P5"/>
    <mergeCell ref="N8:P8"/>
    <mergeCell ref="A6:B6"/>
    <mergeCell ref="A1:T1"/>
    <mergeCell ref="K8:M8"/>
    <mergeCell ref="A7:B7"/>
    <mergeCell ref="K7:M7"/>
    <mergeCell ref="K4:M4"/>
    <mergeCell ref="A3:T3"/>
    <mergeCell ref="A5:B5"/>
    <mergeCell ref="Q7:S7"/>
    <mergeCell ref="N4:P4"/>
    <mergeCell ref="A8:B8"/>
    <mergeCell ref="A4:B4"/>
    <mergeCell ref="N7:P7"/>
    <mergeCell ref="K5:M5"/>
    <mergeCell ref="Q8:S8"/>
    <mergeCell ref="A9:B9"/>
  </mergeCells>
  <conditionalFormatting sqref="P13:P36">
    <cfRule type="dataBar" priority="1">
      <dataBar showValue="1">
        <cfvo type="num" val="0"/>
        <cfvo type="max"/>
        <color rgb="00F2C14E"/>
      </dataBar>
    </cfRule>
  </conditionalFormatting>
  <conditionalFormatting sqref="S13:S36">
    <cfRule type="expression" priority="2" dxfId="0">
      <formula>S13&lt;&gt;""</formula>
    </cfRule>
  </conditionalFormatting>
  <dataValidations count="13">
    <dataValidation sqref="C4" showDropDown="0" showInputMessage="0" showErrorMessage="1" allowBlank="1" errorTitle="Sheetaky" error="Enter a number between 0 and 2" type="decimal" operator="between">
      <formula1>0</formula1>
      <formula2>2</formula2>
    </dataValidation>
    <dataValidation sqref="C5" showDropDown="0" showInputMessage="0" showErrorMessage="1" allowBlank="1" errorTitle="Sheetaky" error="Enter a number between 0 and 2" type="decimal" operator="between">
      <formula1>0</formula1>
      <formula2>2</formula2>
    </dataValidation>
    <dataValidation sqref="C6" showDropDown="0" showInputMessage="0" showErrorMessage="1" allowBlank="1" errorTitle="Sheetaky" error="Enter a number between 20 and 31" type="whole" operator="between">
      <formula1>20</formula1>
      <formula2>31</formula2>
    </dataValidation>
    <dataValidation sqref="C7" showDropDown="0" showInputMessage="0" showErrorMessage="1" allowBlank="1" errorTitle="Sheetaky" error="Enter a number between 1 and 12" type="whole" operator="between">
      <formula1>1</formula1>
      <formula2>12</formula2>
    </dataValidation>
    <dataValidation sqref="C8" showDropDown="0" showInputMessage="0" showErrorMessage="1" allowBlank="1" errorTitle="Sheetaky" error="Enter a number between 0 and 2" type="decimal" operator="between">
      <formula1>0</formula1>
      <formula2>2</formula2>
    </dataValidation>
    <dataValidation sqref="C9" showDropDown="0" showInputMessage="0" showErrorMessage="1" allowBlank="1" errorTitle="Sheetaky" error="Enter a number between 0 and 1000000" type="decimal" operator="between">
      <formula1>0</formula1>
      <formula2>1000000</formula2>
    </dataValidation>
    <dataValidation sqref="W5:X7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13:B36" showDropDown="0" showInputMessage="0" showErrorMessage="1" allowBlank="1" errorTitle="Sheetaky" error="Pick a value from the list" type="list">
      <formula1>=$V$5:$V$7</formula1>
    </dataValidation>
    <dataValidation sqref="C13:C36" showDropDown="0" showInputMessage="0" showErrorMessage="1" allowBlank="1" errorTitle="Sheetaky" error="Enter a number between 0 and 10000000" type="decimal" operator="between">
      <formula1>0</formula1>
      <formula2>10000000</formula2>
    </dataValidation>
    <dataValidation sqref="D13:D36" showDropDown="0" showInputMessage="0" showErrorMessage="1" allowBlank="1" errorTitle="Sheetaky" error="Enter a number between 0 and 60" type="decimal" operator="between">
      <formula1>0</formula1>
      <formula2>60</formula2>
    </dataValidation>
    <dataValidation sqref="E13:E36" showDropDown="0" showInputMessage="0" showErrorMessage="1" allowBlank="1" errorTitle="Sheetaky" error="Enter a number between 0 and 31" type="decimal" operator="between">
      <formula1>0</formula1>
      <formula2>31</formula2>
    </dataValidation>
    <dataValidation sqref="F13:F36" showDropDown="0" showInputMessage="0" showErrorMessage="1" allowBlank="1" errorTitle="Sheetaky" error="Enter a number between 0 and 300" type="decimal" operator="between">
      <formula1>0</formula1>
      <formula2>300</formula2>
    </dataValidation>
    <dataValidation sqref="G13:H36" showDropDown="0" showInputMessage="0" showErrorMessage="1" allowBlank="1" errorTitle="Sheetaky" error="Enter a number between 0 and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F24"/>
  <sheetViews>
    <sheetView showGridLines="0" rightToLeft="0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3" customWidth="1" min="4" max="4"/>
    <col width="28" customWidth="1" min="5" max="5"/>
    <col width="16" customWidth="1" min="6" max="6"/>
  </cols>
  <sheetData>
    <row r="1" ht="36" customHeight="1">
      <c r="A1" s="32" t="inlineStr">
        <is>
          <t>Payslip</t>
        </is>
      </c>
      <c r="B1" s="2" t="n"/>
      <c r="C1" s="2" t="n"/>
      <c r="D1" s="2" t="n"/>
      <c r="E1" s="2" t="n"/>
      <c r="F1" s="2" t="n"/>
    </row>
    <row r="2" ht="18" customHeight="1">
      <c r="A2" s="33" t="inlineStr">
        <is>
          <t>Pick an employee and the payslip is ready to print</t>
        </is>
      </c>
      <c r="B2" s="34" t="n"/>
      <c r="C2" s="34" t="n"/>
      <c r="D2" s="34" t="n"/>
      <c r="E2" s="34" t="n"/>
      <c r="F2" s="34" t="n"/>
    </row>
    <row r="3"/>
    <row r="4">
      <c r="A4" s="35" t="inlineStr">
        <is>
          <t>Employee</t>
        </is>
      </c>
      <c r="B4" s="17" t="inlineStr">
        <is>
          <t>Ahmed Al-Otaibi</t>
        </is>
      </c>
    </row>
    <row r="5">
      <c r="A5" s="35" t="inlineStr">
        <is>
          <t>Category</t>
        </is>
      </c>
      <c r="B5" s="36">
        <f>IFERROR(INDEX('Payroll'!$B$13:$B$36,MATCH($B$4,'Payroll'!$A$13:$A$36,0)),"")</f>
        <v/>
      </c>
    </row>
    <row r="6"/>
    <row r="7">
      <c r="A7" s="29" t="inlineStr">
        <is>
          <t>Earnings</t>
        </is>
      </c>
      <c r="B7" s="12" t="inlineStr">
        <is>
          <t>Amount</t>
        </is>
      </c>
      <c r="C7" s="12" t="inlineStr">
        <is>
          <t>%</t>
        </is>
      </c>
      <c r="E7" s="12" t="inlineStr">
        <is>
          <t>Employer cost</t>
        </is>
      </c>
      <c r="F7" s="12" t="inlineStr">
        <is>
          <t>Amount</t>
        </is>
      </c>
    </row>
    <row r="8">
      <c r="A8" s="37" t="inlineStr">
        <is>
          <t>Basic salary</t>
        </is>
      </c>
      <c r="B8" s="27">
        <f>IFERROR(INDEX('Payroll'!$J$13:$J$36,MATCH($B$4,'Payroll'!$A$13:$A$36,0)),0)</f>
        <v/>
      </c>
      <c r="C8" s="38">
        <f>IFERROR(B8/$B$13,0)</f>
        <v/>
      </c>
      <c r="E8" s="39" t="inlineStr">
        <is>
          <t>Earnings net of absence</t>
        </is>
      </c>
      <c r="F8" s="27">
        <f>B13-B16</f>
        <v/>
      </c>
    </row>
    <row r="9">
      <c r="A9" s="37" t="inlineStr">
        <is>
          <t>Housing allowance</t>
        </is>
      </c>
      <c r="B9" s="27">
        <f>IFERROR(INDEX('Payroll'!$K$13:$K$36,MATCH($B$4,'Payroll'!$A$13:$A$36,0)),0)</f>
        <v/>
      </c>
      <c r="C9" s="38">
        <f>IFERROR(B9/$B$13,0)</f>
        <v/>
      </c>
      <c r="E9" s="39" t="inlineStr">
        <is>
          <t>GOSI employer</t>
        </is>
      </c>
      <c r="F9" s="27">
        <f>IFERROR(INDEX('Payroll'!$Q$13:$Q$36,MATCH($B$4,'Payroll'!$A$13:$A$36,0)),0)</f>
        <v/>
      </c>
    </row>
    <row r="10">
      <c r="A10" s="37" t="inlineStr">
        <is>
          <t>Transport allowance</t>
        </is>
      </c>
      <c r="B10" s="27">
        <f>IFERROR(INDEX('Payroll'!$L$13:$L$36,MATCH($B$4,'Payroll'!$A$13:$A$36,0)),0)</f>
        <v/>
      </c>
      <c r="C10" s="38">
        <f>IFERROR(B10/$B$13,0)</f>
        <v/>
      </c>
      <c r="E10" s="39" t="inlineStr">
        <is>
          <t>EOSB accrual</t>
        </is>
      </c>
      <c r="F10" s="27">
        <f>IFERROR(INDEX('Payroll'!$R$13:$R$36,MATCH($B$4,'Payroll'!$A$13:$A$36,0)),0)</f>
        <v/>
      </c>
    </row>
    <row r="11">
      <c r="A11" s="37" t="inlineStr">
        <is>
          <t>Overtime pay</t>
        </is>
      </c>
      <c r="B11" s="27">
        <f>IFERROR(INDEX('Payroll'!$M$13:$M$36,MATCH($B$4,'Payroll'!$A$13:$A$36,0)),0)</f>
        <v/>
      </c>
      <c r="C11" s="38">
        <f>IFERROR(B11/$B$13,0)</f>
        <v/>
      </c>
      <c r="E11" s="40" t="inlineStr">
        <is>
          <t>Total monthly cost</t>
        </is>
      </c>
      <c r="F11" s="28">
        <f>SUM(F8:F10)</f>
        <v/>
      </c>
    </row>
    <row r="12">
      <c r="A12" s="37" t="inlineStr">
        <is>
          <t>Bonus</t>
        </is>
      </c>
      <c r="B12" s="27">
        <f>IFERROR(INDEX('Payroll'!$G$13:$G$36,MATCH($B$4,'Payroll'!$A$13:$A$36,0)),0)</f>
        <v/>
      </c>
      <c r="C12" s="38">
        <f>IFERROR(B12/$B$13,0)</f>
        <v/>
      </c>
    </row>
    <row r="13">
      <c r="A13" s="35" t="inlineStr">
        <is>
          <t>Total earnings</t>
        </is>
      </c>
      <c r="B13" s="28">
        <f>SUM(B8:B12)</f>
        <v/>
      </c>
      <c r="E13" s="40" t="inlineStr">
        <is>
          <t>Annual cost estimate</t>
        </is>
      </c>
      <c r="F13" s="41">
        <f>F11*12</f>
        <v/>
      </c>
    </row>
    <row r="14"/>
    <row r="15">
      <c r="A15" s="29" t="inlineStr">
        <is>
          <t>Deductions</t>
        </is>
      </c>
      <c r="B15" s="12" t="inlineStr">
        <is>
          <t>Amount</t>
        </is>
      </c>
      <c r="C15" s="30" t="n"/>
    </row>
    <row r="16">
      <c r="A16" s="37" t="inlineStr">
        <is>
          <t>Absence deduction</t>
        </is>
      </c>
      <c r="B16" s="27">
        <f>IFERROR(INDEX('Payroll'!$N$13:$N$36,MATCH($B$4,'Payroll'!$A$13:$A$36,0)),0)</f>
        <v/>
      </c>
    </row>
    <row r="17">
      <c r="A17" s="37" t="inlineStr">
        <is>
          <t>GOSI (employee share)</t>
        </is>
      </c>
      <c r="B17" s="27">
        <f>IFERROR(INDEX('Payroll'!$O$13:$O$36,MATCH($B$4,'Payroll'!$A$13:$A$36,0)),0)</f>
        <v/>
      </c>
    </row>
    <row r="18">
      <c r="A18" s="37" t="inlineStr">
        <is>
          <t>Other deductions</t>
        </is>
      </c>
      <c r="B18" s="27">
        <f>IFERROR(INDEX('Payroll'!$H$13:$H$36,MATCH($B$4,'Payroll'!$A$13:$A$36,0)),0)</f>
        <v/>
      </c>
    </row>
    <row r="19">
      <c r="A19" s="35" t="inlineStr">
        <is>
          <t>Total deductions</t>
        </is>
      </c>
      <c r="B19" s="28">
        <f>SUM(B16:B18)</f>
        <v/>
      </c>
    </row>
    <row r="20"/>
    <row r="21">
      <c r="A21" s="42" t="inlineStr">
        <is>
          <t>Net pay</t>
        </is>
      </c>
      <c r="B21" s="43">
        <f>B13-B19</f>
        <v/>
      </c>
    </row>
    <row r="22">
      <c r="A22" s="44" t="inlineStr">
        <is>
          <t>Check against payroll</t>
        </is>
      </c>
      <c r="B22" s="36">
        <f>IF(ABS(B21-(IFERROR(INDEX('Payroll'!$P$13:$P$36,MATCH($B$4,'Payroll'!$A$13:$A$36,0)),0)))&lt;0.01,"OK","Mismatch")</f>
        <v/>
      </c>
    </row>
    <row r="23"/>
    <row r="24">
      <c r="A24" s="45" t="inlineStr">
        <is>
          <t>Figures are management estimates and do not replace your approved payroll and wage protection; refer to the labour law and GOSI rules.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4:F24"/>
    <mergeCell ref="A2:F2"/>
    <mergeCell ref="A4"/>
    <mergeCell ref="B5:C5"/>
    <mergeCell ref="A1:F1"/>
    <mergeCell ref="B4:C4"/>
  </mergeCells>
  <dataValidations count="1">
    <dataValidation sqref="B4" showDropDown="0" showInputMessage="0" showErrorMessage="1" allowBlank="1" errorTitle="Sheetaky" error="Pick a value from the list" type="list">
      <formula1>='Payroll'!$A$13:$A$36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B25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2" t="inlineStr">
        <is>
          <t>How to use: Salary breakdown</t>
        </is>
      </c>
      <c r="B1" s="2" t="n"/>
    </row>
    <row r="2" ht="18" customHeight="1">
      <c r="A2" s="33" t="inlineStr">
        <is>
          <t>Sheetaky.com · Ready Excel sheets in Arabic and English</t>
        </is>
      </c>
      <c r="B2" s="34" t="n"/>
    </row>
    <row r="3"/>
    <row r="4" ht="22" customHeight="1">
      <c r="A4" s="46" t="inlineStr">
        <is>
          <t>What is this sheet?</t>
        </is>
      </c>
      <c r="B4" s="47" t="n"/>
    </row>
    <row r="5" ht="30" customHeight="1">
      <c r="A5" s="37" t="inlineStr">
        <is>
          <t>Splits each package into basic, housing and transport, calculates overtime, absence, GOSI, net pay and the real employer cost, then shows a print-ready payslip.</t>
        </is>
      </c>
    </row>
    <row r="6"/>
    <row r="7" ht="22" customHeight="1">
      <c r="A7" s="46" t="inlineStr">
        <is>
          <t>Steps</t>
        </is>
      </c>
      <c r="B7" s="47" t="n"/>
    </row>
    <row r="8" ht="20" customHeight="1">
      <c r="A8" s="29" t="n">
        <v>1</v>
      </c>
      <c r="B8" s="37" t="inlineStr">
        <is>
          <t>Set housing and transport percentages, the wage cap and GOSI rates.</t>
        </is>
      </c>
    </row>
    <row r="9" ht="20" customHeight="1">
      <c r="A9" s="29" t="n">
        <v>2</v>
      </c>
      <c r="B9" s="37" t="inlineStr">
        <is>
          <t>Enter each employee package, category and years of service.</t>
        </is>
      </c>
    </row>
    <row r="10" ht="20" customHeight="1">
      <c r="A10" s="29" t="n">
        <v>3</v>
      </c>
      <c r="B10" s="37" t="inlineStr">
        <is>
          <t>Record the month absence days, overtime hours, bonuses and deductions.</t>
        </is>
      </c>
    </row>
    <row r="11" ht="20" customHeight="1">
      <c r="A11" s="29" t="n">
        <v>4</v>
      </c>
      <c r="B11" s="37" t="inlineStr">
        <is>
          <t>Pick the employee on the payslip sheet and print it.</t>
        </is>
      </c>
    </row>
    <row r="12"/>
    <row r="13" ht="22" customHeight="1">
      <c r="A13" s="46" t="inlineStr">
        <is>
          <t>Color legend</t>
        </is>
      </c>
      <c r="B13" s="47" t="n"/>
    </row>
    <row r="14">
      <c r="A14" s="24" t="inlineStr"/>
      <c r="B14" s="37" t="inlineStr">
        <is>
          <t>Input cell: type or choose your value here (blue text on yellow).</t>
        </is>
      </c>
    </row>
    <row r="15">
      <c r="A15" s="48" t="inlineStr"/>
      <c r="B15" s="37" t="inlineStr">
        <is>
          <t>Calculated cell: automatic formula, protected from accidental edits.</t>
        </is>
      </c>
    </row>
    <row r="16">
      <c r="A16" s="49" t="inlineStr"/>
      <c r="B16" s="37" t="inlineStr">
        <is>
          <t>Table and section headers.</t>
        </is>
      </c>
    </row>
    <row r="17"/>
    <row r="18" ht="22" customHeight="1">
      <c r="A18" s="46" t="inlineStr">
        <is>
          <t>Important notes</t>
        </is>
      </c>
      <c r="B18" s="47" t="n"/>
    </row>
    <row r="19" ht="20" customHeight="1">
      <c r="A19" s="50" t="inlineStr">
        <is>
          <t>•</t>
        </is>
      </c>
      <c r="B19" s="51" t="inlineStr">
        <is>
          <t>Basic = package ÷ (1 + housing % + transport %).</t>
        </is>
      </c>
    </row>
    <row r="20" ht="20" customHeight="1">
      <c r="A20" s="50" t="inlineStr">
        <is>
          <t>•</t>
        </is>
      </c>
      <c r="B20" s="51" t="inlineStr">
        <is>
          <t>GOSI = the lower of (basic + housing) and the cap × rate.</t>
        </is>
      </c>
    </row>
    <row r="21" ht="20" customHeight="1">
      <c r="A21" s="50" t="inlineStr">
        <is>
          <t>•</t>
        </is>
      </c>
      <c r="B21" s="51" t="inlineStr">
        <is>
          <t>Overtime = basic ÷ month days ÷ hours per day × (1 + 50%) × hours.</t>
        </is>
      </c>
    </row>
    <row r="22" ht="20" customHeight="1">
      <c r="A22" s="50" t="inlineStr">
        <is>
          <t>•</t>
        </is>
      </c>
      <c r="B22" s="51" t="inlineStr">
        <is>
          <t>EOSB accrual: half a month per year for the first five years then a full month (estimate).</t>
        </is>
      </c>
    </row>
    <row r="23" ht="30" customHeight="1">
      <c r="A23" s="50" t="inlineStr">
        <is>
          <t>•</t>
        </is>
      </c>
      <c r="B23" s="51" t="inlineStr">
        <is>
          <t>Sheets are protected without a password to keep formulas safe. To unprotect: Review → Unprotect Sheet.</t>
        </is>
      </c>
    </row>
    <row r="24" ht="20" customHeight="1">
      <c r="A24" s="50" t="inlineStr">
        <is>
          <t>•</t>
        </is>
      </c>
      <c r="B24" s="51" t="inlineStr">
        <is>
          <t>The data shown is a worked example. Clear it and type your own data in the yellow cells only.</t>
        </is>
      </c>
    </row>
    <row r="25" ht="20" customHeight="1">
      <c r="A25" s="50" t="inlineStr">
        <is>
          <t>•</t>
        </is>
      </c>
      <c r="B25" s="51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PAY</dc:title>
  <dcterms:created xmlns:dcterms="http://purl.org/dc/terms/" xmlns:xsi="http://www.w3.org/2001/XMLSchema-instance" xsi:type="dcterms:W3CDTF">2026-10-23T13:45:29Z</dcterms:created>
  <dcterms:modified xmlns:dcterms="http://purl.org/dc/terms/" xmlns:xsi="http://www.w3.org/2001/XMLSchema-instance" xsi:type="dcterms:W3CDTF">2026-10-23T13:45:29Z</dcterms:modified>
</cp:coreProperties>
</file>