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atma Plan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B6090"/>
      <sz val="9"/>
    </font>
    <font>
      <name val="Segoe UI"/>
      <b val="1"/>
      <color rgb="0012163F"/>
      <sz val="11"/>
    </font>
    <font>
      <name val="Segoe UI"/>
      <b val="1"/>
      <color rgb="001A1D3D"/>
      <sz val="10"/>
    </font>
    <font>
      <name val="Segoe UI"/>
      <color rgb="001F4FB5"/>
      <sz val="10"/>
    </font>
    <font>
      <name val="Segoe UI"/>
      <b val="1"/>
      <color rgb="005B6090"/>
      <sz val="9"/>
    </font>
    <font>
      <name val="Segoe UI"/>
      <b val="1"/>
      <color rgb="001D2260"/>
      <sz val="18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color rgb="001A1D3D"/>
      <sz val="10"/>
    </font>
    <font>
      <name val="Segoe UI"/>
      <b val="1"/>
      <color rgb="00FFFFFF"/>
      <sz val="10"/>
    </font>
    <font>
      <name val="Segoe UI"/>
      <color rgb="001A1D3D"/>
      <sz val="9"/>
    </font>
    <font>
      <name val="Segoe UI"/>
      <b val="1"/>
      <color rgb="001A1D3D"/>
      <sz val="11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E9C46A"/>
      <sz val="10"/>
    </font>
  </fonts>
  <fills count="9">
    <fill>
      <patternFill/>
    </fill>
    <fill>
      <patternFill patternType="gray125"/>
    </fill>
    <fill>
      <patternFill patternType="solid">
        <fgColor rgb="00EEF0FB"/>
      </patternFill>
    </fill>
    <fill>
      <patternFill patternType="solid">
        <fgColor rgb="001D2260"/>
      </patternFill>
    </fill>
    <fill>
      <patternFill patternType="solid">
        <fgColor rgb="00E9C46A"/>
      </patternFill>
    </fill>
    <fill>
      <patternFill patternType="solid">
        <fgColor rgb="00DADFF5"/>
      </patternFill>
    </fill>
    <fill>
      <patternFill patternType="solid">
        <fgColor rgb="00FFF6D6"/>
      </patternFill>
    </fill>
    <fill>
      <patternFill patternType="solid">
        <fgColor rgb="00E1E5F8"/>
      </patternFill>
    </fill>
    <fill>
      <patternFill patternType="solid">
        <fgColor rgb="0012163F"/>
      </patternFill>
    </fill>
  </fills>
  <borders count="8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top style="medium">
        <color rgb="00E9C46A"/>
      </top>
    </border>
    <border/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/>
      <top style="thin">
        <color rgb="00B9C0E6"/>
      </top>
      <bottom style="thin">
        <color rgb="00B9C0E6"/>
      </bottom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6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4" fillId="2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7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166" fontId="9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64" fontId="7" fillId="7" borderId="3" applyAlignment="1" pivotButton="0" quotePrefix="0" xfId="0">
      <alignment horizontal="center" vertical="center" wrapText="1" readingOrder="1"/>
    </xf>
    <xf numFmtId="0" fontId="3" fillId="5" borderId="0" applyAlignment="1" pivotButton="0" quotePrefix="0" xfId="0">
      <alignment horizontal="center" vertical="center" wrapText="1" readingOrder="1"/>
    </xf>
    <xf numFmtId="0" fontId="0" fillId="5" borderId="0" pivotButton="0" quotePrefix="0" xfId="0"/>
    <xf numFmtId="1" fontId="10" fillId="7" borderId="1" applyAlignment="1" pivotButton="0" quotePrefix="0" xfId="0">
      <alignment horizontal="center" vertical="center" wrapText="1" readingOrder="1"/>
    </xf>
    <xf numFmtId="1" fontId="13" fillId="2" borderId="1" applyAlignment="1" pivotButton="0" quotePrefix="0" xfId="0">
      <alignment horizontal="center" vertical="center" wrapText="1" readingOrder="1"/>
    </xf>
    <xf numFmtId="0" fontId="11" fillId="3" borderId="1" applyAlignment="1" pivotButton="0" quotePrefix="0" xfId="0">
      <alignment horizontal="center" vertical="center" wrapText="1" readingOrder="1"/>
    </xf>
    <xf numFmtId="1" fontId="4" fillId="2" borderId="1" applyAlignment="1" pivotButton="0" quotePrefix="0" xfId="0">
      <alignment horizontal="left" vertical="center" wrapText="1" readingOrder="1"/>
    </xf>
    <xf numFmtId="164" fontId="10" fillId="2" borderId="1" applyAlignment="1" pivotButton="0" quotePrefix="0" xfId="0">
      <alignment horizontal="center" vertical="center" wrapText="1" readingOrder="1"/>
    </xf>
    <xf numFmtId="0" fontId="12" fillId="2" borderId="1" applyAlignment="1" pivotButton="0" quotePrefix="0" xfId="0">
      <alignment horizontal="center" vertical="center" wrapText="1" readingOrder="1"/>
    </xf>
    <xf numFmtId="0" fontId="12" fillId="7" borderId="1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14" fillId="3" borderId="0" applyAlignment="1" pivotButton="0" quotePrefix="0" xfId="0">
      <alignment horizontal="center" vertical="center" wrapText="1" readingOrder="1"/>
    </xf>
    <xf numFmtId="0" fontId="15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10" fillId="0" borderId="1" applyAlignment="1" pivotButton="0" quotePrefix="0" xfId="0">
      <alignment horizontal="left" vertical="center" wrapText="1" readingOrder="1"/>
    </xf>
    <xf numFmtId="0" fontId="11" fillId="3" borderId="1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0" fontId="10" fillId="7" borderId="1" applyAlignment="1" pivotButton="0" quotePrefix="0" xfId="0">
      <alignment horizontal="left" vertical="center" wrapText="1" readingOrder="1"/>
    </xf>
    <xf numFmtId="0" fontId="10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6">
    <dxf>
      <font>
        <name val="Segoe UI"/>
        <color rgb="001D5E3A"/>
      </font>
      <fill>
        <patternFill patternType="solid">
          <fgColor rgb="00E3F1E6"/>
        </patternFill>
      </fill>
    </dxf>
    <dxf>
      <font>
        <name val="Segoe UI"/>
        <color rgb="001A1D3D"/>
      </font>
      <fill>
        <patternFill patternType="solid">
          <fgColor rgb="00EEF0FB"/>
        </patternFill>
      </fill>
    </dxf>
    <dxf>
      <font>
        <name val="Segoe UI"/>
        <color rgb="009A2B1F"/>
      </font>
      <fill>
        <patternFill patternType="solid">
          <fgColor rgb="00FDE8E4"/>
        </patternFill>
      </fill>
    </dxf>
    <dxf>
      <font>
        <name val="Segoe UI"/>
        <b val="1"/>
        <color rgb="001A1D3D"/>
      </font>
      <fill>
        <patternFill patternType="solid">
          <fgColor rgb="00FFF2C4"/>
        </patternFill>
      </fill>
    </dxf>
    <dxf>
      <font>
        <name val="Segoe UI"/>
        <b val="1"/>
        <color rgb="0012163F"/>
      </font>
      <fill>
        <patternFill patternType="solid">
          <fgColor rgb="00E9C46A"/>
        </patternFill>
      </fill>
    </dxf>
    <dxf>
      <font>
        <name val="Segoe UI"/>
        <color rgb="0012163F"/>
      </font>
      <fill>
        <patternFill patternType="solid">
          <fgColor rgb="00F4DF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Pages per 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'Khatma Plan'!F14</f>
            </strRef>
          </tx>
          <spPr>
            <a:solidFill xmlns:a="http://schemas.openxmlformats.org/drawingml/2006/main">
              <a:srgbClr val="1D2260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D2260"/>
              </a:solidFill>
              <a:ln xmlns:a="http://schemas.openxmlformats.org/drawingml/2006/main">
                <a:prstDash val="solid"/>
              </a:ln>
            </spPr>
          </dPt>
          <val>
            <numRef>
              <f>'Khatma Plan'!$F$15:$F$44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17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S76"/>
  <sheetViews>
    <sheetView showGridLines="0" rightToLeft="0" zoomScale="10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11" customWidth="1" min="4" max="4"/>
    <col width="11" customWidth="1" min="5" max="5"/>
    <col width="9" customWidth="1" min="6" max="6"/>
    <col width="14" customWidth="1" min="7" max="7"/>
    <col width="9" customWidth="1" min="8" max="8"/>
    <col width="3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</cols>
  <sheetData>
    <row r="1" ht="40" customHeight="1">
      <c r="A1" s="1" t="inlineStr">
        <is>
          <t>Quran Khatma Plan &amp; Daily Wird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20" customHeight="1">
      <c r="A3" s="4" t="inlineStr">
        <is>
          <t>Pick the number of days; the sheet splits 604 pages evenly and tracks your progress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5" ht="18" customHeight="1">
      <c r="A5" s="6" t="inlineStr">
        <is>
          <t>Settings</t>
        </is>
      </c>
      <c r="B5" s="7" t="n"/>
      <c r="C5" s="7" t="n"/>
      <c r="D5" s="7" t="n"/>
      <c r="E5" s="7" t="n"/>
      <c r="F5" s="7" t="n"/>
      <c r="G5" s="7" t="n"/>
      <c r="H5" s="7" t="n"/>
      <c r="I5" s="5" t="n"/>
      <c r="J5" s="8" t="inlineStr">
        <is>
          <t>Pages / day</t>
        </is>
      </c>
      <c r="K5" s="9" t="n"/>
      <c r="L5" s="9" t="n"/>
      <c r="M5" s="9" t="n"/>
      <c r="N5" s="8" t="inlineStr">
        <is>
          <t>After each prayer</t>
        </is>
      </c>
      <c r="O5" s="9" t="n"/>
      <c r="P5" s="9" t="n"/>
      <c r="Q5" s="9" t="n"/>
      <c r="R5" s="9" t="n"/>
      <c r="S5" s="9" t="n"/>
    </row>
    <row r="6" ht="30" customHeight="1">
      <c r="A6" s="10" t="inlineStr">
        <is>
          <t>Start date</t>
        </is>
      </c>
      <c r="B6" s="11" t="n"/>
      <c r="C6" s="11" t="n"/>
      <c r="D6" s="11" t="n"/>
      <c r="E6" s="12" t="n">
        <v>46426</v>
      </c>
      <c r="F6" s="11" t="n"/>
      <c r="G6" s="5" t="n"/>
      <c r="H6" s="5" t="n"/>
      <c r="I6" s="5" t="n"/>
      <c r="J6" s="13">
        <f>ROUND(604/$E$7,1)</f>
        <v/>
      </c>
      <c r="K6" s="14" t="n"/>
      <c r="L6" s="14" t="n"/>
      <c r="M6" s="14" t="n"/>
      <c r="N6" s="13">
        <f>ROUND(604/$E$7/$E$8,1)</f>
        <v/>
      </c>
      <c r="O6" s="14" t="n"/>
      <c r="P6" s="14" t="n"/>
      <c r="Q6" s="14" t="n"/>
      <c r="R6" s="14" t="n"/>
      <c r="S6" s="14" t="n"/>
    </row>
    <row r="7">
      <c r="A7" s="10" t="inlineStr">
        <is>
          <t>Days to finish (7–60)</t>
        </is>
      </c>
      <c r="B7" s="11" t="n"/>
      <c r="C7" s="11" t="n"/>
      <c r="D7" s="11" t="n"/>
      <c r="E7" s="15" t="n">
        <v>30</v>
      </c>
      <c r="F7" s="11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</row>
    <row r="8" ht="18" customHeight="1">
      <c r="A8" s="10" t="inlineStr">
        <is>
          <t>Prayers to split across</t>
        </is>
      </c>
      <c r="B8" s="11" t="n"/>
      <c r="C8" s="11" t="n"/>
      <c r="D8" s="11" t="n"/>
      <c r="E8" s="15" t="n">
        <v>5</v>
      </c>
      <c r="F8" s="11" t="n"/>
      <c r="G8" s="5" t="n"/>
      <c r="H8" s="5" t="n"/>
      <c r="I8" s="5" t="n"/>
      <c r="J8" s="16" t="inlineStr">
        <is>
          <t>Progress</t>
        </is>
      </c>
      <c r="K8" s="17" t="n"/>
      <c r="L8" s="17" t="n"/>
      <c r="M8" s="17" t="n"/>
      <c r="N8" s="8" t="inlineStr">
        <is>
          <t>Finish date</t>
        </is>
      </c>
      <c r="O8" s="9" t="n"/>
      <c r="P8" s="9" t="n"/>
      <c r="Q8" s="9" t="n"/>
      <c r="R8" s="9" t="n"/>
      <c r="S8" s="9" t="n"/>
    </row>
    <row r="9" ht="30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18">
        <f>SUMIF($H$15:$H$74,"✔",$F$15:$F$74)/604</f>
        <v/>
      </c>
      <c r="K9" s="19" t="n"/>
      <c r="L9" s="19" t="n"/>
      <c r="M9" s="19" t="n"/>
      <c r="N9" s="20">
        <f>$E$6+$E$7-1</f>
        <v/>
      </c>
      <c r="O9" s="14" t="n"/>
      <c r="P9" s="14" t="n"/>
      <c r="Q9" s="14" t="n"/>
      <c r="R9" s="14" t="n"/>
      <c r="S9" s="1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</row>
    <row r="11" ht="22" customHeight="1">
      <c r="A11" s="6" t="inlineStr">
        <is>
          <t>Your status</t>
        </is>
      </c>
      <c r="B11" s="7" t="n"/>
      <c r="C11" s="7" t="n"/>
      <c r="D11" s="7" t="n"/>
      <c r="E11" s="7" t="n"/>
      <c r="F11" s="7" t="n"/>
      <c r="G11" s="7" t="n"/>
      <c r="H11" s="7" t="n"/>
      <c r="I11" s="5" t="n"/>
      <c r="J11" s="21" t="inlineStr">
        <is>
          <t>The 30 juz map</t>
        </is>
      </c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</row>
    <row r="12" ht="26" customHeight="1">
      <c r="A12" s="10" t="inlineStr">
        <is>
          <t>Pages read</t>
        </is>
      </c>
      <c r="B12" s="11" t="n"/>
      <c r="C12" s="11" t="n"/>
      <c r="D12" s="11" t="n"/>
      <c r="E12" s="23">
        <f>SUMIF($H$15:$H$74,"✔",$F$15:$F$74)</f>
        <v/>
      </c>
      <c r="F12" s="11" t="n"/>
      <c r="G12" s="5" t="n"/>
      <c r="H12" s="5" t="n"/>
      <c r="I12" s="5" t="n"/>
      <c r="J12" s="24" t="n">
        <v>1</v>
      </c>
      <c r="K12" s="24" t="n">
        <v>2</v>
      </c>
      <c r="L12" s="24" t="n">
        <v>3</v>
      </c>
      <c r="M12" s="24" t="n">
        <v>4</v>
      </c>
      <c r="N12" s="24" t="n">
        <v>5</v>
      </c>
      <c r="O12" s="24" t="n">
        <v>6</v>
      </c>
      <c r="P12" s="24" t="n">
        <v>7</v>
      </c>
      <c r="Q12" s="24" t="n">
        <v>8</v>
      </c>
      <c r="R12" s="24" t="n">
        <v>9</v>
      </c>
      <c r="S12" s="24" t="n">
        <v>10</v>
      </c>
    </row>
    <row r="13" ht="26" customHeight="1">
      <c r="A13" s="6" t="inlineStr">
        <is>
          <t>Daily plan</t>
        </is>
      </c>
      <c r="B13" s="7" t="n"/>
      <c r="C13" s="7" t="n"/>
      <c r="D13" s="7" t="n"/>
      <c r="E13" s="7" t="n"/>
      <c r="F13" s="7" t="n"/>
      <c r="G13" s="7" t="n"/>
      <c r="H13" s="7" t="n"/>
      <c r="I13" s="5" t="n"/>
      <c r="J13" s="24" t="n">
        <v>11</v>
      </c>
      <c r="K13" s="24" t="n">
        <v>12</v>
      </c>
      <c r="L13" s="24" t="n">
        <v>13</v>
      </c>
      <c r="M13" s="24" t="n">
        <v>14</v>
      </c>
      <c r="N13" s="24" t="n">
        <v>15</v>
      </c>
      <c r="O13" s="24" t="n">
        <v>16</v>
      </c>
      <c r="P13" s="24" t="n">
        <v>17</v>
      </c>
      <c r="Q13" s="24" t="n">
        <v>18</v>
      </c>
      <c r="R13" s="24" t="n">
        <v>19</v>
      </c>
      <c r="S13" s="24" t="n">
        <v>20</v>
      </c>
    </row>
    <row r="14" ht="26" customHeight="1">
      <c r="A14" s="25" t="inlineStr">
        <is>
          <t>Day</t>
        </is>
      </c>
      <c r="B14" s="25" t="inlineStr">
        <is>
          <t>Date</t>
        </is>
      </c>
      <c r="C14" s="25" t="inlineStr">
        <is>
          <t>Weekday</t>
        </is>
      </c>
      <c r="D14" s="25" t="inlineStr">
        <is>
          <t>From p.</t>
        </is>
      </c>
      <c r="E14" s="25" t="inlineStr">
        <is>
          <t>To p.</t>
        </is>
      </c>
      <c r="F14" s="25" t="inlineStr">
        <is>
          <t>Pages</t>
        </is>
      </c>
      <c r="G14" s="25" t="inlineStr">
        <is>
          <t>Juz</t>
        </is>
      </c>
      <c r="H14" s="25" t="inlineStr">
        <is>
          <t>Done</t>
        </is>
      </c>
      <c r="I14" s="5" t="n"/>
      <c r="J14" s="24" t="n">
        <v>21</v>
      </c>
      <c r="K14" s="24" t="n">
        <v>22</v>
      </c>
      <c r="L14" s="24" t="n">
        <v>23</v>
      </c>
      <c r="M14" s="24" t="n">
        <v>24</v>
      </c>
      <c r="N14" s="24" t="n">
        <v>25</v>
      </c>
      <c r="O14" s="24" t="n">
        <v>26</v>
      </c>
      <c r="P14" s="24" t="n">
        <v>27</v>
      </c>
      <c r="Q14" s="24" t="n">
        <v>28</v>
      </c>
      <c r="R14" s="24" t="n">
        <v>29</v>
      </c>
      <c r="S14" s="24" t="n">
        <v>30</v>
      </c>
    </row>
    <row r="15">
      <c r="A15" s="26">
        <f>IF(1&lt;=$E$7,1,"")</f>
        <v/>
      </c>
      <c r="B15" s="27">
        <f>IF($A15&lt;=$E$7,$E$6+1-1,"")</f>
        <v/>
      </c>
      <c r="C15" s="28">
        <f>IF($A15&lt;=$E$7,CHOOSE(WEEKDAY(B15),"Sun","Mon","Tue","Wed","Thu","Fri","Sat"),"")</f>
        <v/>
      </c>
      <c r="D15" s="23">
        <f>IF($A15&lt;=$E$7,ROUND(604*(1-1)/$E$7,0)+1,"")</f>
        <v/>
      </c>
      <c r="E15" s="23">
        <f>IF($A15&lt;=$E$7,ROUND(604*1/$E$7,0),"")</f>
        <v/>
      </c>
      <c r="F15" s="23">
        <f>IF($A15&lt;=$E$7,E15-D15+1,"")</f>
        <v/>
      </c>
      <c r="G15" s="29">
        <f>IF($A15&lt;=$E$7,IF(MAX(1,1+INT((D15-2)/20))=MIN(30,MAX(1,1+INT((E15-2)/20))),MAX(1,1+INT((D15-2)/20))&amp;"",MAX(1,1+INT((D15-2)/20))&amp;"–"&amp;MIN(30,MAX(1,1+INT((E15-2)/20)))),"")</f>
        <v/>
      </c>
      <c r="H15" s="30" t="inlineStr">
        <is>
          <t>✔</t>
        </is>
      </c>
      <c r="I15" s="5" t="n"/>
      <c r="J15" s="4" t="inlineStr">
        <is>
          <t>Gold = completed juz · light = in progress (assumes you read in order)</t>
        </is>
      </c>
    </row>
    <row r="16">
      <c r="A16" s="26">
        <f>IF(2&lt;=$E$7,2,"")</f>
        <v/>
      </c>
      <c r="B16" s="27">
        <f>IF($A16&lt;=$E$7,$E$6+2-1,"")</f>
        <v/>
      </c>
      <c r="C16" s="28">
        <f>IF($A16&lt;=$E$7,CHOOSE(WEEKDAY(B16),"Sun","Mon","Tue","Wed","Thu","Fri","Sat"),"")</f>
        <v/>
      </c>
      <c r="D16" s="23">
        <f>IF($A16&lt;=$E$7,ROUND(604*(2-1)/$E$7,0)+1,"")</f>
        <v/>
      </c>
      <c r="E16" s="23">
        <f>IF($A16&lt;=$E$7,ROUND(604*2/$E$7,0),"")</f>
        <v/>
      </c>
      <c r="F16" s="23">
        <f>IF($A16&lt;=$E$7,E16-D16+1,"")</f>
        <v/>
      </c>
      <c r="G16" s="29">
        <f>IF($A16&lt;=$E$7,IF(MAX(1,1+INT((D16-2)/20))=MIN(30,MAX(1,1+INT((E16-2)/20))),MAX(1,1+INT((D16-2)/20))&amp;"",MAX(1,1+INT((D16-2)/20))&amp;"–"&amp;MIN(30,MAX(1,1+INT((E16-2)/20)))),"")</f>
        <v/>
      </c>
      <c r="H16" s="30" t="inlineStr">
        <is>
          <t>✔</t>
        </is>
      </c>
      <c r="I16" s="5" t="n"/>
    </row>
    <row r="17">
      <c r="A17" s="26">
        <f>IF(3&lt;=$E$7,3,"")</f>
        <v/>
      </c>
      <c r="B17" s="27">
        <f>IF($A17&lt;=$E$7,$E$6+3-1,"")</f>
        <v/>
      </c>
      <c r="C17" s="28">
        <f>IF($A17&lt;=$E$7,CHOOSE(WEEKDAY(B17),"Sun","Mon","Tue","Wed","Thu","Fri","Sat"),"")</f>
        <v/>
      </c>
      <c r="D17" s="23">
        <f>IF($A17&lt;=$E$7,ROUND(604*(3-1)/$E$7,0)+1,"")</f>
        <v/>
      </c>
      <c r="E17" s="23">
        <f>IF($A17&lt;=$E$7,ROUND(604*3/$E$7,0),"")</f>
        <v/>
      </c>
      <c r="F17" s="23">
        <f>IF($A17&lt;=$E$7,E17-D17+1,"")</f>
        <v/>
      </c>
      <c r="G17" s="29">
        <f>IF($A17&lt;=$E$7,IF(MAX(1,1+INT((D17-2)/20))=MIN(30,MAX(1,1+INT((E17-2)/20))),MAX(1,1+INT((D17-2)/20))&amp;"",MAX(1,1+INT((D17-2)/20))&amp;"–"&amp;MIN(30,MAX(1,1+INT((E17-2)/20)))),"")</f>
        <v/>
      </c>
      <c r="H17" s="30" t="inlineStr">
        <is>
          <t>✔</t>
        </is>
      </c>
      <c r="I17" s="5" t="n"/>
    </row>
    <row r="18">
      <c r="A18" s="26">
        <f>IF(4&lt;=$E$7,4,"")</f>
        <v/>
      </c>
      <c r="B18" s="27">
        <f>IF($A18&lt;=$E$7,$E$6+4-1,"")</f>
        <v/>
      </c>
      <c r="C18" s="28">
        <f>IF($A18&lt;=$E$7,CHOOSE(WEEKDAY(B18),"Sun","Mon","Tue","Wed","Thu","Fri","Sat"),"")</f>
        <v/>
      </c>
      <c r="D18" s="23">
        <f>IF($A18&lt;=$E$7,ROUND(604*(4-1)/$E$7,0)+1,"")</f>
        <v/>
      </c>
      <c r="E18" s="23">
        <f>IF($A18&lt;=$E$7,ROUND(604*4/$E$7,0),"")</f>
        <v/>
      </c>
      <c r="F18" s="23">
        <f>IF($A18&lt;=$E$7,E18-D18+1,"")</f>
        <v/>
      </c>
      <c r="G18" s="29">
        <f>IF($A18&lt;=$E$7,IF(MAX(1,1+INT((D18-2)/20))=MIN(30,MAX(1,1+INT((E18-2)/20))),MAX(1,1+INT((D18-2)/20))&amp;"",MAX(1,1+INT((D18-2)/20))&amp;"–"&amp;MIN(30,MAX(1,1+INT((E18-2)/20)))),"")</f>
        <v/>
      </c>
      <c r="H18" s="30" t="inlineStr">
        <is>
          <t>✔</t>
        </is>
      </c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</row>
    <row r="19">
      <c r="A19" s="26">
        <f>IF(5&lt;=$E$7,5,"")</f>
        <v/>
      </c>
      <c r="B19" s="27">
        <f>IF($A19&lt;=$E$7,$E$6+5-1,"")</f>
        <v/>
      </c>
      <c r="C19" s="28">
        <f>IF($A19&lt;=$E$7,CHOOSE(WEEKDAY(B19),"Sun","Mon","Tue","Wed","Thu","Fri","Sat"),"")</f>
        <v/>
      </c>
      <c r="D19" s="23">
        <f>IF($A19&lt;=$E$7,ROUND(604*(5-1)/$E$7,0)+1,"")</f>
        <v/>
      </c>
      <c r="E19" s="23">
        <f>IF($A19&lt;=$E$7,ROUND(604*5/$E$7,0),"")</f>
        <v/>
      </c>
      <c r="F19" s="23">
        <f>IF($A19&lt;=$E$7,E19-D19+1,"")</f>
        <v/>
      </c>
      <c r="G19" s="29">
        <f>IF($A19&lt;=$E$7,IF(MAX(1,1+INT((D19-2)/20))=MIN(30,MAX(1,1+INT((E19-2)/20))),MAX(1,1+INT((D19-2)/20))&amp;"",MAX(1,1+INT((D19-2)/20))&amp;"–"&amp;MIN(30,MAX(1,1+INT((E19-2)/20)))),"")</f>
        <v/>
      </c>
      <c r="H19" s="30" t="inlineStr">
        <is>
          <t>✔</t>
        </is>
      </c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</row>
    <row r="20">
      <c r="A20" s="26">
        <f>IF(6&lt;=$E$7,6,"")</f>
        <v/>
      </c>
      <c r="B20" s="27">
        <f>IF($A20&lt;=$E$7,$E$6+6-1,"")</f>
        <v/>
      </c>
      <c r="C20" s="28">
        <f>IF($A20&lt;=$E$7,CHOOSE(WEEKDAY(B20),"Sun","Mon","Tue","Wed","Thu","Fri","Sat"),"")</f>
        <v/>
      </c>
      <c r="D20" s="23">
        <f>IF($A20&lt;=$E$7,ROUND(604*(6-1)/$E$7,0)+1,"")</f>
        <v/>
      </c>
      <c r="E20" s="23">
        <f>IF($A20&lt;=$E$7,ROUND(604*6/$E$7,0),"")</f>
        <v/>
      </c>
      <c r="F20" s="23">
        <f>IF($A20&lt;=$E$7,E20-D20+1,"")</f>
        <v/>
      </c>
      <c r="G20" s="29">
        <f>IF($A20&lt;=$E$7,IF(MAX(1,1+INT((D20-2)/20))=MIN(30,MAX(1,1+INT((E20-2)/20))),MAX(1,1+INT((D20-2)/20))&amp;"",MAX(1,1+INT((D20-2)/20))&amp;"–"&amp;MIN(30,MAX(1,1+INT((E20-2)/20)))),"")</f>
        <v/>
      </c>
      <c r="H20" s="30" t="inlineStr">
        <is>
          <t>✔</t>
        </is>
      </c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>
      <c r="A21" s="26">
        <f>IF(7&lt;=$E$7,7,"")</f>
        <v/>
      </c>
      <c r="B21" s="27">
        <f>IF($A21&lt;=$E$7,$E$6+7-1,"")</f>
        <v/>
      </c>
      <c r="C21" s="28">
        <f>IF($A21&lt;=$E$7,CHOOSE(WEEKDAY(B21),"Sun","Mon","Tue","Wed","Thu","Fri","Sat"),"")</f>
        <v/>
      </c>
      <c r="D21" s="23">
        <f>IF($A21&lt;=$E$7,ROUND(604*(7-1)/$E$7,0)+1,"")</f>
        <v/>
      </c>
      <c r="E21" s="23">
        <f>IF($A21&lt;=$E$7,ROUND(604*7/$E$7,0),"")</f>
        <v/>
      </c>
      <c r="F21" s="23">
        <f>IF($A21&lt;=$E$7,E21-D21+1,"")</f>
        <v/>
      </c>
      <c r="G21" s="29">
        <f>IF($A21&lt;=$E$7,IF(MAX(1,1+INT((D21-2)/20))=MIN(30,MAX(1,1+INT((E21-2)/20))),MAX(1,1+INT((D21-2)/20))&amp;"",MAX(1,1+INT((D21-2)/20))&amp;"–"&amp;MIN(30,MAX(1,1+INT((E21-2)/20)))),"")</f>
        <v/>
      </c>
      <c r="H21" s="30" t="inlineStr">
        <is>
          <t>✔</t>
        </is>
      </c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</row>
    <row r="22">
      <c r="A22" s="26">
        <f>IF(8&lt;=$E$7,8,"")</f>
        <v/>
      </c>
      <c r="B22" s="27">
        <f>IF($A22&lt;=$E$7,$E$6+8-1,"")</f>
        <v/>
      </c>
      <c r="C22" s="28">
        <f>IF($A22&lt;=$E$7,CHOOSE(WEEKDAY(B22),"Sun","Mon","Tue","Wed","Thu","Fri","Sat"),"")</f>
        <v/>
      </c>
      <c r="D22" s="23">
        <f>IF($A22&lt;=$E$7,ROUND(604*(8-1)/$E$7,0)+1,"")</f>
        <v/>
      </c>
      <c r="E22" s="23">
        <f>IF($A22&lt;=$E$7,ROUND(604*8/$E$7,0),"")</f>
        <v/>
      </c>
      <c r="F22" s="23">
        <f>IF($A22&lt;=$E$7,E22-D22+1,"")</f>
        <v/>
      </c>
      <c r="G22" s="29">
        <f>IF($A22&lt;=$E$7,IF(MAX(1,1+INT((D22-2)/20))=MIN(30,MAX(1,1+INT((E22-2)/20))),MAX(1,1+INT((D22-2)/20))&amp;"",MAX(1,1+INT((D22-2)/20))&amp;"–"&amp;MIN(30,MAX(1,1+INT((E22-2)/20)))),"")</f>
        <v/>
      </c>
      <c r="H22" s="30" t="inlineStr">
        <is>
          <t>✔</t>
        </is>
      </c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</row>
    <row r="23">
      <c r="A23" s="26">
        <f>IF(9&lt;=$E$7,9,"")</f>
        <v/>
      </c>
      <c r="B23" s="27">
        <f>IF($A23&lt;=$E$7,$E$6+9-1,"")</f>
        <v/>
      </c>
      <c r="C23" s="28">
        <f>IF($A23&lt;=$E$7,CHOOSE(WEEKDAY(B23),"Sun","Mon","Tue","Wed","Thu","Fri","Sat"),"")</f>
        <v/>
      </c>
      <c r="D23" s="23">
        <f>IF($A23&lt;=$E$7,ROUND(604*(9-1)/$E$7,0)+1,"")</f>
        <v/>
      </c>
      <c r="E23" s="23">
        <f>IF($A23&lt;=$E$7,ROUND(604*9/$E$7,0),"")</f>
        <v/>
      </c>
      <c r="F23" s="23">
        <f>IF($A23&lt;=$E$7,E23-D23+1,"")</f>
        <v/>
      </c>
      <c r="G23" s="29">
        <f>IF($A23&lt;=$E$7,IF(MAX(1,1+INT((D23-2)/20))=MIN(30,MAX(1,1+INT((E23-2)/20))),MAX(1,1+INT((D23-2)/20))&amp;"",MAX(1,1+INT((D23-2)/20))&amp;"–"&amp;MIN(30,MAX(1,1+INT((E23-2)/20)))),"")</f>
        <v/>
      </c>
      <c r="H23" s="30" t="inlineStr">
        <is>
          <t>✔</t>
        </is>
      </c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</row>
    <row r="24">
      <c r="A24" s="26">
        <f>IF(10&lt;=$E$7,10,"")</f>
        <v/>
      </c>
      <c r="B24" s="27">
        <f>IF($A24&lt;=$E$7,$E$6+10-1,"")</f>
        <v/>
      </c>
      <c r="C24" s="28">
        <f>IF($A24&lt;=$E$7,CHOOSE(WEEKDAY(B24),"Sun","Mon","Tue","Wed","Thu","Fri","Sat"),"")</f>
        <v/>
      </c>
      <c r="D24" s="23">
        <f>IF($A24&lt;=$E$7,ROUND(604*(10-1)/$E$7,0)+1,"")</f>
        <v/>
      </c>
      <c r="E24" s="23">
        <f>IF($A24&lt;=$E$7,ROUND(604*10/$E$7,0),"")</f>
        <v/>
      </c>
      <c r="F24" s="23">
        <f>IF($A24&lt;=$E$7,E24-D24+1,"")</f>
        <v/>
      </c>
      <c r="G24" s="29">
        <f>IF($A24&lt;=$E$7,IF(MAX(1,1+INT((D24-2)/20))=MIN(30,MAX(1,1+INT((E24-2)/20))),MAX(1,1+INT((D24-2)/20))&amp;"",MAX(1,1+INT((D24-2)/20))&amp;"–"&amp;MIN(30,MAX(1,1+INT((E24-2)/20)))),"")</f>
        <v/>
      </c>
      <c r="H24" s="30" t="inlineStr">
        <is>
          <t>✔</t>
        </is>
      </c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</row>
    <row r="25">
      <c r="A25" s="26">
        <f>IF(11&lt;=$E$7,11,"")</f>
        <v/>
      </c>
      <c r="B25" s="27">
        <f>IF($A25&lt;=$E$7,$E$6+11-1,"")</f>
        <v/>
      </c>
      <c r="C25" s="28">
        <f>IF($A25&lt;=$E$7,CHOOSE(WEEKDAY(B25),"Sun","Mon","Tue","Wed","Thu","Fri","Sat"),"")</f>
        <v/>
      </c>
      <c r="D25" s="23">
        <f>IF($A25&lt;=$E$7,ROUND(604*(11-1)/$E$7,0)+1,"")</f>
        <v/>
      </c>
      <c r="E25" s="23">
        <f>IF($A25&lt;=$E$7,ROUND(604*11/$E$7,0),"")</f>
        <v/>
      </c>
      <c r="F25" s="23">
        <f>IF($A25&lt;=$E$7,E25-D25+1,"")</f>
        <v/>
      </c>
      <c r="G25" s="29">
        <f>IF($A25&lt;=$E$7,IF(MAX(1,1+INT((D25-2)/20))=MIN(30,MAX(1,1+INT((E25-2)/20))),MAX(1,1+INT((D25-2)/20))&amp;"",MAX(1,1+INT((D25-2)/20))&amp;"–"&amp;MIN(30,MAX(1,1+INT((E25-2)/20)))),"")</f>
        <v/>
      </c>
      <c r="H25" s="30" t="inlineStr">
        <is>
          <t>✔</t>
        </is>
      </c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</row>
    <row r="26">
      <c r="A26" s="26">
        <f>IF(12&lt;=$E$7,12,"")</f>
        <v/>
      </c>
      <c r="B26" s="27">
        <f>IF($A26&lt;=$E$7,$E$6+12-1,"")</f>
        <v/>
      </c>
      <c r="C26" s="28">
        <f>IF($A26&lt;=$E$7,CHOOSE(WEEKDAY(B26),"Sun","Mon","Tue","Wed","Thu","Fri","Sat"),"")</f>
        <v/>
      </c>
      <c r="D26" s="23">
        <f>IF($A26&lt;=$E$7,ROUND(604*(12-1)/$E$7,0)+1,"")</f>
        <v/>
      </c>
      <c r="E26" s="23">
        <f>IF($A26&lt;=$E$7,ROUND(604*12/$E$7,0),"")</f>
        <v/>
      </c>
      <c r="F26" s="23">
        <f>IF($A26&lt;=$E$7,E26-D26+1,"")</f>
        <v/>
      </c>
      <c r="G26" s="29">
        <f>IF($A26&lt;=$E$7,IF(MAX(1,1+INT((D26-2)/20))=MIN(30,MAX(1,1+INT((E26-2)/20))),MAX(1,1+INT((D26-2)/20))&amp;"",MAX(1,1+INT((D26-2)/20))&amp;"–"&amp;MIN(30,MAX(1,1+INT((E26-2)/20)))),"")</f>
        <v/>
      </c>
      <c r="H26" s="30" t="inlineStr">
        <is>
          <t>✔</t>
        </is>
      </c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</row>
    <row r="27">
      <c r="A27" s="26">
        <f>IF(13&lt;=$E$7,13,"")</f>
        <v/>
      </c>
      <c r="B27" s="27">
        <f>IF($A27&lt;=$E$7,$E$6+13-1,"")</f>
        <v/>
      </c>
      <c r="C27" s="28">
        <f>IF($A27&lt;=$E$7,CHOOSE(WEEKDAY(B27),"Sun","Mon","Tue","Wed","Thu","Fri","Sat"),"")</f>
        <v/>
      </c>
      <c r="D27" s="23">
        <f>IF($A27&lt;=$E$7,ROUND(604*(13-1)/$E$7,0)+1,"")</f>
        <v/>
      </c>
      <c r="E27" s="23">
        <f>IF($A27&lt;=$E$7,ROUND(604*13/$E$7,0),"")</f>
        <v/>
      </c>
      <c r="F27" s="23">
        <f>IF($A27&lt;=$E$7,E27-D27+1,"")</f>
        <v/>
      </c>
      <c r="G27" s="29">
        <f>IF($A27&lt;=$E$7,IF(MAX(1,1+INT((D27-2)/20))=MIN(30,MAX(1,1+INT((E27-2)/20))),MAX(1,1+INT((D27-2)/20))&amp;"",MAX(1,1+INT((D27-2)/20))&amp;"–"&amp;MIN(30,MAX(1,1+INT((E27-2)/20)))),"")</f>
        <v/>
      </c>
      <c r="H27" s="30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</row>
    <row r="28">
      <c r="A28" s="26">
        <f>IF(14&lt;=$E$7,14,"")</f>
        <v/>
      </c>
      <c r="B28" s="27">
        <f>IF($A28&lt;=$E$7,$E$6+14-1,"")</f>
        <v/>
      </c>
      <c r="C28" s="28">
        <f>IF($A28&lt;=$E$7,CHOOSE(WEEKDAY(B28),"Sun","Mon","Tue","Wed","Thu","Fri","Sat"),"")</f>
        <v/>
      </c>
      <c r="D28" s="23">
        <f>IF($A28&lt;=$E$7,ROUND(604*(14-1)/$E$7,0)+1,"")</f>
        <v/>
      </c>
      <c r="E28" s="23">
        <f>IF($A28&lt;=$E$7,ROUND(604*14/$E$7,0),"")</f>
        <v/>
      </c>
      <c r="F28" s="23">
        <f>IF($A28&lt;=$E$7,E28-D28+1,"")</f>
        <v/>
      </c>
      <c r="G28" s="29">
        <f>IF($A28&lt;=$E$7,IF(MAX(1,1+INT((D28-2)/20))=MIN(30,MAX(1,1+INT((E28-2)/20))),MAX(1,1+INT((D28-2)/20))&amp;"",MAX(1,1+INT((D28-2)/20))&amp;"–"&amp;MIN(30,MAX(1,1+INT((E28-2)/20)))),"")</f>
        <v/>
      </c>
      <c r="H28" s="30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</row>
    <row r="29">
      <c r="A29" s="26">
        <f>IF(15&lt;=$E$7,15,"")</f>
        <v/>
      </c>
      <c r="B29" s="27">
        <f>IF($A29&lt;=$E$7,$E$6+15-1,"")</f>
        <v/>
      </c>
      <c r="C29" s="28">
        <f>IF($A29&lt;=$E$7,CHOOSE(WEEKDAY(B29),"Sun","Mon","Tue","Wed","Thu","Fri","Sat"),"")</f>
        <v/>
      </c>
      <c r="D29" s="23">
        <f>IF($A29&lt;=$E$7,ROUND(604*(15-1)/$E$7,0)+1,"")</f>
        <v/>
      </c>
      <c r="E29" s="23">
        <f>IF($A29&lt;=$E$7,ROUND(604*15/$E$7,0),"")</f>
        <v/>
      </c>
      <c r="F29" s="23">
        <f>IF($A29&lt;=$E$7,E29-D29+1,"")</f>
        <v/>
      </c>
      <c r="G29" s="29">
        <f>IF($A29&lt;=$E$7,IF(MAX(1,1+INT((D29-2)/20))=MIN(30,MAX(1,1+INT((E29-2)/20))),MAX(1,1+INT((D29-2)/20))&amp;"",MAX(1,1+INT((D29-2)/20))&amp;"–"&amp;MIN(30,MAX(1,1+INT((E29-2)/20)))),"")</f>
        <v/>
      </c>
      <c r="H29" s="30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</row>
    <row r="30">
      <c r="A30" s="26">
        <f>IF(16&lt;=$E$7,16,"")</f>
        <v/>
      </c>
      <c r="B30" s="27">
        <f>IF($A30&lt;=$E$7,$E$6+16-1,"")</f>
        <v/>
      </c>
      <c r="C30" s="28">
        <f>IF($A30&lt;=$E$7,CHOOSE(WEEKDAY(B30),"Sun","Mon","Tue","Wed","Thu","Fri","Sat"),"")</f>
        <v/>
      </c>
      <c r="D30" s="23">
        <f>IF($A30&lt;=$E$7,ROUND(604*(16-1)/$E$7,0)+1,"")</f>
        <v/>
      </c>
      <c r="E30" s="23">
        <f>IF($A30&lt;=$E$7,ROUND(604*16/$E$7,0),"")</f>
        <v/>
      </c>
      <c r="F30" s="23">
        <f>IF($A30&lt;=$E$7,E30-D30+1,"")</f>
        <v/>
      </c>
      <c r="G30" s="29">
        <f>IF($A30&lt;=$E$7,IF(MAX(1,1+INT((D30-2)/20))=MIN(30,MAX(1,1+INT((E30-2)/20))),MAX(1,1+INT((D30-2)/20))&amp;"",MAX(1,1+INT((D30-2)/20))&amp;"–"&amp;MIN(30,MAX(1,1+INT((E30-2)/20)))),"")</f>
        <v/>
      </c>
      <c r="H30" s="30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</row>
    <row r="31">
      <c r="A31" s="26">
        <f>IF(17&lt;=$E$7,17,"")</f>
        <v/>
      </c>
      <c r="B31" s="27">
        <f>IF($A31&lt;=$E$7,$E$6+17-1,"")</f>
        <v/>
      </c>
      <c r="C31" s="28">
        <f>IF($A31&lt;=$E$7,CHOOSE(WEEKDAY(B31),"Sun","Mon","Tue","Wed","Thu","Fri","Sat"),"")</f>
        <v/>
      </c>
      <c r="D31" s="23">
        <f>IF($A31&lt;=$E$7,ROUND(604*(17-1)/$E$7,0)+1,"")</f>
        <v/>
      </c>
      <c r="E31" s="23">
        <f>IF($A31&lt;=$E$7,ROUND(604*17/$E$7,0),"")</f>
        <v/>
      </c>
      <c r="F31" s="23">
        <f>IF($A31&lt;=$E$7,E31-D31+1,"")</f>
        <v/>
      </c>
      <c r="G31" s="29">
        <f>IF($A31&lt;=$E$7,IF(MAX(1,1+INT((D31-2)/20))=MIN(30,MAX(1,1+INT((E31-2)/20))),MAX(1,1+INT((D31-2)/20))&amp;"",MAX(1,1+INT((D31-2)/20))&amp;"–"&amp;MIN(30,MAX(1,1+INT((E31-2)/20)))),"")</f>
        <v/>
      </c>
      <c r="H31" s="30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</row>
    <row r="32">
      <c r="A32" s="26">
        <f>IF(18&lt;=$E$7,18,"")</f>
        <v/>
      </c>
      <c r="B32" s="27">
        <f>IF($A32&lt;=$E$7,$E$6+18-1,"")</f>
        <v/>
      </c>
      <c r="C32" s="28">
        <f>IF($A32&lt;=$E$7,CHOOSE(WEEKDAY(B32),"Sun","Mon","Tue","Wed","Thu","Fri","Sat"),"")</f>
        <v/>
      </c>
      <c r="D32" s="23">
        <f>IF($A32&lt;=$E$7,ROUND(604*(18-1)/$E$7,0)+1,"")</f>
        <v/>
      </c>
      <c r="E32" s="23">
        <f>IF($A32&lt;=$E$7,ROUND(604*18/$E$7,0),"")</f>
        <v/>
      </c>
      <c r="F32" s="23">
        <f>IF($A32&lt;=$E$7,E32-D32+1,"")</f>
        <v/>
      </c>
      <c r="G32" s="29">
        <f>IF($A32&lt;=$E$7,IF(MAX(1,1+INT((D32-2)/20))=MIN(30,MAX(1,1+INT((E32-2)/20))),MAX(1,1+INT((D32-2)/20))&amp;"",MAX(1,1+INT((D32-2)/20))&amp;"–"&amp;MIN(30,MAX(1,1+INT((E32-2)/20)))),"")</f>
        <v/>
      </c>
      <c r="H32" s="30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</row>
    <row r="33">
      <c r="A33" s="26">
        <f>IF(19&lt;=$E$7,19,"")</f>
        <v/>
      </c>
      <c r="B33" s="27">
        <f>IF($A33&lt;=$E$7,$E$6+19-1,"")</f>
        <v/>
      </c>
      <c r="C33" s="28">
        <f>IF($A33&lt;=$E$7,CHOOSE(WEEKDAY(B33),"Sun","Mon","Tue","Wed","Thu","Fri","Sat"),"")</f>
        <v/>
      </c>
      <c r="D33" s="23">
        <f>IF($A33&lt;=$E$7,ROUND(604*(19-1)/$E$7,0)+1,"")</f>
        <v/>
      </c>
      <c r="E33" s="23">
        <f>IF($A33&lt;=$E$7,ROUND(604*19/$E$7,0),"")</f>
        <v/>
      </c>
      <c r="F33" s="23">
        <f>IF($A33&lt;=$E$7,E33-D33+1,"")</f>
        <v/>
      </c>
      <c r="G33" s="29">
        <f>IF($A33&lt;=$E$7,IF(MAX(1,1+INT((D33-2)/20))=MIN(30,MAX(1,1+INT((E33-2)/20))),MAX(1,1+INT((D33-2)/20))&amp;"",MAX(1,1+INT((D33-2)/20))&amp;"–"&amp;MIN(30,MAX(1,1+INT((E33-2)/20)))),"")</f>
        <v/>
      </c>
      <c r="H33" s="30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</row>
    <row r="34">
      <c r="A34" s="26">
        <f>IF(20&lt;=$E$7,20,"")</f>
        <v/>
      </c>
      <c r="B34" s="27">
        <f>IF($A34&lt;=$E$7,$E$6+20-1,"")</f>
        <v/>
      </c>
      <c r="C34" s="28">
        <f>IF($A34&lt;=$E$7,CHOOSE(WEEKDAY(B34),"Sun","Mon","Tue","Wed","Thu","Fri","Sat"),"")</f>
        <v/>
      </c>
      <c r="D34" s="23">
        <f>IF($A34&lt;=$E$7,ROUND(604*(20-1)/$E$7,0)+1,"")</f>
        <v/>
      </c>
      <c r="E34" s="23">
        <f>IF($A34&lt;=$E$7,ROUND(604*20/$E$7,0),"")</f>
        <v/>
      </c>
      <c r="F34" s="23">
        <f>IF($A34&lt;=$E$7,E34-D34+1,"")</f>
        <v/>
      </c>
      <c r="G34" s="29">
        <f>IF($A34&lt;=$E$7,IF(MAX(1,1+INT((D34-2)/20))=MIN(30,MAX(1,1+INT((E34-2)/20))),MAX(1,1+INT((D34-2)/20))&amp;"",MAX(1,1+INT((D34-2)/20))&amp;"–"&amp;MIN(30,MAX(1,1+INT((E34-2)/20)))),"")</f>
        <v/>
      </c>
      <c r="H34" s="30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</row>
    <row r="35">
      <c r="A35" s="26">
        <f>IF(21&lt;=$E$7,21,"")</f>
        <v/>
      </c>
      <c r="B35" s="27">
        <f>IF($A35&lt;=$E$7,$E$6+21-1,"")</f>
        <v/>
      </c>
      <c r="C35" s="28">
        <f>IF($A35&lt;=$E$7,CHOOSE(WEEKDAY(B35),"Sun","Mon","Tue","Wed","Thu","Fri","Sat"),"")</f>
        <v/>
      </c>
      <c r="D35" s="23">
        <f>IF($A35&lt;=$E$7,ROUND(604*(21-1)/$E$7,0)+1,"")</f>
        <v/>
      </c>
      <c r="E35" s="23">
        <f>IF($A35&lt;=$E$7,ROUND(604*21/$E$7,0),"")</f>
        <v/>
      </c>
      <c r="F35" s="23">
        <f>IF($A35&lt;=$E$7,E35-D35+1,"")</f>
        <v/>
      </c>
      <c r="G35" s="29">
        <f>IF($A35&lt;=$E$7,IF(MAX(1,1+INT((D35-2)/20))=MIN(30,MAX(1,1+INT((E35-2)/20))),MAX(1,1+INT((D35-2)/20))&amp;"",MAX(1,1+INT((D35-2)/20))&amp;"–"&amp;MIN(30,MAX(1,1+INT((E35-2)/20)))),"")</f>
        <v/>
      </c>
      <c r="H35" s="30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</row>
    <row r="36">
      <c r="A36" s="26">
        <f>IF(22&lt;=$E$7,22,"")</f>
        <v/>
      </c>
      <c r="B36" s="27">
        <f>IF($A36&lt;=$E$7,$E$6+22-1,"")</f>
        <v/>
      </c>
      <c r="C36" s="28">
        <f>IF($A36&lt;=$E$7,CHOOSE(WEEKDAY(B36),"Sun","Mon","Tue","Wed","Thu","Fri","Sat"),"")</f>
        <v/>
      </c>
      <c r="D36" s="23">
        <f>IF($A36&lt;=$E$7,ROUND(604*(22-1)/$E$7,0)+1,"")</f>
        <v/>
      </c>
      <c r="E36" s="23">
        <f>IF($A36&lt;=$E$7,ROUND(604*22/$E$7,0),"")</f>
        <v/>
      </c>
      <c r="F36" s="23">
        <f>IF($A36&lt;=$E$7,E36-D36+1,"")</f>
        <v/>
      </c>
      <c r="G36" s="29">
        <f>IF($A36&lt;=$E$7,IF(MAX(1,1+INT((D36-2)/20))=MIN(30,MAX(1,1+INT((E36-2)/20))),MAX(1,1+INT((D36-2)/20))&amp;"",MAX(1,1+INT((D36-2)/20))&amp;"–"&amp;MIN(30,MAX(1,1+INT((E36-2)/20)))),"")</f>
        <v/>
      </c>
      <c r="H36" s="30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</row>
    <row r="37">
      <c r="A37" s="26">
        <f>IF(23&lt;=$E$7,23,"")</f>
        <v/>
      </c>
      <c r="B37" s="27">
        <f>IF($A37&lt;=$E$7,$E$6+23-1,"")</f>
        <v/>
      </c>
      <c r="C37" s="28">
        <f>IF($A37&lt;=$E$7,CHOOSE(WEEKDAY(B37),"Sun","Mon","Tue","Wed","Thu","Fri","Sat"),"")</f>
        <v/>
      </c>
      <c r="D37" s="23">
        <f>IF($A37&lt;=$E$7,ROUND(604*(23-1)/$E$7,0)+1,"")</f>
        <v/>
      </c>
      <c r="E37" s="23">
        <f>IF($A37&lt;=$E$7,ROUND(604*23/$E$7,0),"")</f>
        <v/>
      </c>
      <c r="F37" s="23">
        <f>IF($A37&lt;=$E$7,E37-D37+1,"")</f>
        <v/>
      </c>
      <c r="G37" s="29">
        <f>IF($A37&lt;=$E$7,IF(MAX(1,1+INT((D37-2)/20))=MIN(30,MAX(1,1+INT((E37-2)/20))),MAX(1,1+INT((D37-2)/20))&amp;"",MAX(1,1+INT((D37-2)/20))&amp;"–"&amp;MIN(30,MAX(1,1+INT((E37-2)/20)))),"")</f>
        <v/>
      </c>
      <c r="H37" s="30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</row>
    <row r="38">
      <c r="A38" s="26">
        <f>IF(24&lt;=$E$7,24,"")</f>
        <v/>
      </c>
      <c r="B38" s="27">
        <f>IF($A38&lt;=$E$7,$E$6+24-1,"")</f>
        <v/>
      </c>
      <c r="C38" s="28">
        <f>IF($A38&lt;=$E$7,CHOOSE(WEEKDAY(B38),"Sun","Mon","Tue","Wed","Thu","Fri","Sat"),"")</f>
        <v/>
      </c>
      <c r="D38" s="23">
        <f>IF($A38&lt;=$E$7,ROUND(604*(24-1)/$E$7,0)+1,"")</f>
        <v/>
      </c>
      <c r="E38" s="23">
        <f>IF($A38&lt;=$E$7,ROUND(604*24/$E$7,0),"")</f>
        <v/>
      </c>
      <c r="F38" s="23">
        <f>IF($A38&lt;=$E$7,E38-D38+1,"")</f>
        <v/>
      </c>
      <c r="G38" s="29">
        <f>IF($A38&lt;=$E$7,IF(MAX(1,1+INT((D38-2)/20))=MIN(30,MAX(1,1+INT((E38-2)/20))),MAX(1,1+INT((D38-2)/20))&amp;"",MAX(1,1+INT((D38-2)/20))&amp;"–"&amp;MIN(30,MAX(1,1+INT((E38-2)/20)))),"")</f>
        <v/>
      </c>
      <c r="H38" s="30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</row>
    <row r="39">
      <c r="A39" s="26">
        <f>IF(25&lt;=$E$7,25,"")</f>
        <v/>
      </c>
      <c r="B39" s="27">
        <f>IF($A39&lt;=$E$7,$E$6+25-1,"")</f>
        <v/>
      </c>
      <c r="C39" s="28">
        <f>IF($A39&lt;=$E$7,CHOOSE(WEEKDAY(B39),"Sun","Mon","Tue","Wed","Thu","Fri","Sat"),"")</f>
        <v/>
      </c>
      <c r="D39" s="23">
        <f>IF($A39&lt;=$E$7,ROUND(604*(25-1)/$E$7,0)+1,"")</f>
        <v/>
      </c>
      <c r="E39" s="23">
        <f>IF($A39&lt;=$E$7,ROUND(604*25/$E$7,0),"")</f>
        <v/>
      </c>
      <c r="F39" s="23">
        <f>IF($A39&lt;=$E$7,E39-D39+1,"")</f>
        <v/>
      </c>
      <c r="G39" s="29">
        <f>IF($A39&lt;=$E$7,IF(MAX(1,1+INT((D39-2)/20))=MIN(30,MAX(1,1+INT((E39-2)/20))),MAX(1,1+INT((D39-2)/20))&amp;"",MAX(1,1+INT((D39-2)/20))&amp;"–"&amp;MIN(30,MAX(1,1+INT((E39-2)/20)))),"")</f>
        <v/>
      </c>
      <c r="H39" s="30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</row>
    <row r="40">
      <c r="A40" s="26">
        <f>IF(26&lt;=$E$7,26,"")</f>
        <v/>
      </c>
      <c r="B40" s="27">
        <f>IF($A40&lt;=$E$7,$E$6+26-1,"")</f>
        <v/>
      </c>
      <c r="C40" s="28">
        <f>IF($A40&lt;=$E$7,CHOOSE(WEEKDAY(B40),"Sun","Mon","Tue","Wed","Thu","Fri","Sat"),"")</f>
        <v/>
      </c>
      <c r="D40" s="23">
        <f>IF($A40&lt;=$E$7,ROUND(604*(26-1)/$E$7,0)+1,"")</f>
        <v/>
      </c>
      <c r="E40" s="23">
        <f>IF($A40&lt;=$E$7,ROUND(604*26/$E$7,0),"")</f>
        <v/>
      </c>
      <c r="F40" s="23">
        <f>IF($A40&lt;=$E$7,E40-D40+1,"")</f>
        <v/>
      </c>
      <c r="G40" s="29">
        <f>IF($A40&lt;=$E$7,IF(MAX(1,1+INT((D40-2)/20))=MIN(30,MAX(1,1+INT((E40-2)/20))),MAX(1,1+INT((D40-2)/20))&amp;"",MAX(1,1+INT((D40-2)/20))&amp;"–"&amp;MIN(30,MAX(1,1+INT((E40-2)/20)))),"")</f>
        <v/>
      </c>
      <c r="H40" s="30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</row>
    <row r="41">
      <c r="A41" s="26">
        <f>IF(27&lt;=$E$7,27,"")</f>
        <v/>
      </c>
      <c r="B41" s="27">
        <f>IF($A41&lt;=$E$7,$E$6+27-1,"")</f>
        <v/>
      </c>
      <c r="C41" s="28">
        <f>IF($A41&lt;=$E$7,CHOOSE(WEEKDAY(B41),"Sun","Mon","Tue","Wed","Thu","Fri","Sat"),"")</f>
        <v/>
      </c>
      <c r="D41" s="23">
        <f>IF($A41&lt;=$E$7,ROUND(604*(27-1)/$E$7,0)+1,"")</f>
        <v/>
      </c>
      <c r="E41" s="23">
        <f>IF($A41&lt;=$E$7,ROUND(604*27/$E$7,0),"")</f>
        <v/>
      </c>
      <c r="F41" s="23">
        <f>IF($A41&lt;=$E$7,E41-D41+1,"")</f>
        <v/>
      </c>
      <c r="G41" s="29">
        <f>IF($A41&lt;=$E$7,IF(MAX(1,1+INT((D41-2)/20))=MIN(30,MAX(1,1+INT((E41-2)/20))),MAX(1,1+INT((D41-2)/20))&amp;"",MAX(1,1+INT((D41-2)/20))&amp;"–"&amp;MIN(30,MAX(1,1+INT((E41-2)/20)))),"")</f>
        <v/>
      </c>
      <c r="H41" s="30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</row>
    <row r="42">
      <c r="A42" s="26">
        <f>IF(28&lt;=$E$7,28,"")</f>
        <v/>
      </c>
      <c r="B42" s="27">
        <f>IF($A42&lt;=$E$7,$E$6+28-1,"")</f>
        <v/>
      </c>
      <c r="C42" s="28">
        <f>IF($A42&lt;=$E$7,CHOOSE(WEEKDAY(B42),"Sun","Mon","Tue","Wed","Thu","Fri","Sat"),"")</f>
        <v/>
      </c>
      <c r="D42" s="23">
        <f>IF($A42&lt;=$E$7,ROUND(604*(28-1)/$E$7,0)+1,"")</f>
        <v/>
      </c>
      <c r="E42" s="23">
        <f>IF($A42&lt;=$E$7,ROUND(604*28/$E$7,0),"")</f>
        <v/>
      </c>
      <c r="F42" s="23">
        <f>IF($A42&lt;=$E$7,E42-D42+1,"")</f>
        <v/>
      </c>
      <c r="G42" s="29">
        <f>IF($A42&lt;=$E$7,IF(MAX(1,1+INT((D42-2)/20))=MIN(30,MAX(1,1+INT((E42-2)/20))),MAX(1,1+INT((D42-2)/20))&amp;"",MAX(1,1+INT((D42-2)/20))&amp;"–"&amp;MIN(30,MAX(1,1+INT((E42-2)/20)))),"")</f>
        <v/>
      </c>
      <c r="H42" s="30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</row>
    <row r="43">
      <c r="A43" s="26">
        <f>IF(29&lt;=$E$7,29,"")</f>
        <v/>
      </c>
      <c r="B43" s="27">
        <f>IF($A43&lt;=$E$7,$E$6+29-1,"")</f>
        <v/>
      </c>
      <c r="C43" s="28">
        <f>IF($A43&lt;=$E$7,CHOOSE(WEEKDAY(B43),"Sun","Mon","Tue","Wed","Thu","Fri","Sat"),"")</f>
        <v/>
      </c>
      <c r="D43" s="23">
        <f>IF($A43&lt;=$E$7,ROUND(604*(29-1)/$E$7,0)+1,"")</f>
        <v/>
      </c>
      <c r="E43" s="23">
        <f>IF($A43&lt;=$E$7,ROUND(604*29/$E$7,0),"")</f>
        <v/>
      </c>
      <c r="F43" s="23">
        <f>IF($A43&lt;=$E$7,E43-D43+1,"")</f>
        <v/>
      </c>
      <c r="G43" s="29">
        <f>IF($A43&lt;=$E$7,IF(MAX(1,1+INT((D43-2)/20))=MIN(30,MAX(1,1+INT((E43-2)/20))),MAX(1,1+INT((D43-2)/20))&amp;"",MAX(1,1+INT((D43-2)/20))&amp;"–"&amp;MIN(30,MAX(1,1+INT((E43-2)/20)))),"")</f>
        <v/>
      </c>
      <c r="H43" s="30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</row>
    <row r="44">
      <c r="A44" s="26">
        <f>IF(30&lt;=$E$7,30,"")</f>
        <v/>
      </c>
      <c r="B44" s="27">
        <f>IF($A44&lt;=$E$7,$E$6+30-1,"")</f>
        <v/>
      </c>
      <c r="C44" s="28">
        <f>IF($A44&lt;=$E$7,CHOOSE(WEEKDAY(B44),"Sun","Mon","Tue","Wed","Thu","Fri","Sat"),"")</f>
        <v/>
      </c>
      <c r="D44" s="23">
        <f>IF($A44&lt;=$E$7,ROUND(604*(30-1)/$E$7,0)+1,"")</f>
        <v/>
      </c>
      <c r="E44" s="23">
        <f>IF($A44&lt;=$E$7,ROUND(604*30/$E$7,0),"")</f>
        <v/>
      </c>
      <c r="F44" s="23">
        <f>IF($A44&lt;=$E$7,E44-D44+1,"")</f>
        <v/>
      </c>
      <c r="G44" s="29">
        <f>IF($A44&lt;=$E$7,IF(MAX(1,1+INT((D44-2)/20))=MIN(30,MAX(1,1+INT((E44-2)/20))),MAX(1,1+INT((D44-2)/20))&amp;"",MAX(1,1+INT((D44-2)/20))&amp;"–"&amp;MIN(30,MAX(1,1+INT((E44-2)/20)))),"")</f>
        <v/>
      </c>
      <c r="H44" s="30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</row>
    <row r="45">
      <c r="A45" s="26">
        <f>IF(31&lt;=$E$7,31,"")</f>
        <v/>
      </c>
      <c r="B45" s="27">
        <f>IF($A45&lt;=$E$7,$E$6+31-1,"")</f>
        <v/>
      </c>
      <c r="C45" s="28">
        <f>IF($A45&lt;=$E$7,CHOOSE(WEEKDAY(B45),"Sun","Mon","Tue","Wed","Thu","Fri","Sat"),"")</f>
        <v/>
      </c>
      <c r="D45" s="23">
        <f>IF($A45&lt;=$E$7,ROUND(604*(31-1)/$E$7,0)+1,"")</f>
        <v/>
      </c>
      <c r="E45" s="23">
        <f>IF($A45&lt;=$E$7,ROUND(604*31/$E$7,0),"")</f>
        <v/>
      </c>
      <c r="F45" s="23">
        <f>IF($A45&lt;=$E$7,E45-D45+1,"")</f>
        <v/>
      </c>
      <c r="G45" s="29">
        <f>IF($A45&lt;=$E$7,IF(MAX(1,1+INT((D45-2)/20))=MIN(30,MAX(1,1+INT((E45-2)/20))),MAX(1,1+INT((D45-2)/20))&amp;"",MAX(1,1+INT((D45-2)/20))&amp;"–"&amp;MIN(30,MAX(1,1+INT((E45-2)/20)))),"")</f>
        <v/>
      </c>
      <c r="H45" s="30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</row>
    <row r="46">
      <c r="A46" s="26">
        <f>IF(32&lt;=$E$7,32,"")</f>
        <v/>
      </c>
      <c r="B46" s="27">
        <f>IF($A46&lt;=$E$7,$E$6+32-1,"")</f>
        <v/>
      </c>
      <c r="C46" s="28">
        <f>IF($A46&lt;=$E$7,CHOOSE(WEEKDAY(B46),"Sun","Mon","Tue","Wed","Thu","Fri","Sat"),"")</f>
        <v/>
      </c>
      <c r="D46" s="23">
        <f>IF($A46&lt;=$E$7,ROUND(604*(32-1)/$E$7,0)+1,"")</f>
        <v/>
      </c>
      <c r="E46" s="23">
        <f>IF($A46&lt;=$E$7,ROUND(604*32/$E$7,0),"")</f>
        <v/>
      </c>
      <c r="F46" s="23">
        <f>IF($A46&lt;=$E$7,E46-D46+1,"")</f>
        <v/>
      </c>
      <c r="G46" s="29">
        <f>IF($A46&lt;=$E$7,IF(MAX(1,1+INT((D46-2)/20))=MIN(30,MAX(1,1+INT((E46-2)/20))),MAX(1,1+INT((D46-2)/20))&amp;"",MAX(1,1+INT((D46-2)/20))&amp;"–"&amp;MIN(30,MAX(1,1+INT((E46-2)/20)))),"")</f>
        <v/>
      </c>
      <c r="H46" s="30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</row>
    <row r="47">
      <c r="A47" s="26">
        <f>IF(33&lt;=$E$7,33,"")</f>
        <v/>
      </c>
      <c r="B47" s="27">
        <f>IF($A47&lt;=$E$7,$E$6+33-1,"")</f>
        <v/>
      </c>
      <c r="C47" s="28">
        <f>IF($A47&lt;=$E$7,CHOOSE(WEEKDAY(B47),"Sun","Mon","Tue","Wed","Thu","Fri","Sat"),"")</f>
        <v/>
      </c>
      <c r="D47" s="23">
        <f>IF($A47&lt;=$E$7,ROUND(604*(33-1)/$E$7,0)+1,"")</f>
        <v/>
      </c>
      <c r="E47" s="23">
        <f>IF($A47&lt;=$E$7,ROUND(604*33/$E$7,0),"")</f>
        <v/>
      </c>
      <c r="F47" s="23">
        <f>IF($A47&lt;=$E$7,E47-D47+1,"")</f>
        <v/>
      </c>
      <c r="G47" s="29">
        <f>IF($A47&lt;=$E$7,IF(MAX(1,1+INT((D47-2)/20))=MIN(30,MAX(1,1+INT((E47-2)/20))),MAX(1,1+INT((D47-2)/20))&amp;"",MAX(1,1+INT((D47-2)/20))&amp;"–"&amp;MIN(30,MAX(1,1+INT((E47-2)/20)))),"")</f>
        <v/>
      </c>
      <c r="H47" s="30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</row>
    <row r="48">
      <c r="A48" s="26">
        <f>IF(34&lt;=$E$7,34,"")</f>
        <v/>
      </c>
      <c r="B48" s="27">
        <f>IF($A48&lt;=$E$7,$E$6+34-1,"")</f>
        <v/>
      </c>
      <c r="C48" s="28">
        <f>IF($A48&lt;=$E$7,CHOOSE(WEEKDAY(B48),"Sun","Mon","Tue","Wed","Thu","Fri","Sat"),"")</f>
        <v/>
      </c>
      <c r="D48" s="23">
        <f>IF($A48&lt;=$E$7,ROUND(604*(34-1)/$E$7,0)+1,"")</f>
        <v/>
      </c>
      <c r="E48" s="23">
        <f>IF($A48&lt;=$E$7,ROUND(604*34/$E$7,0),"")</f>
        <v/>
      </c>
      <c r="F48" s="23">
        <f>IF($A48&lt;=$E$7,E48-D48+1,"")</f>
        <v/>
      </c>
      <c r="G48" s="29">
        <f>IF($A48&lt;=$E$7,IF(MAX(1,1+INT((D48-2)/20))=MIN(30,MAX(1,1+INT((E48-2)/20))),MAX(1,1+INT((D48-2)/20))&amp;"",MAX(1,1+INT((D48-2)/20))&amp;"–"&amp;MIN(30,MAX(1,1+INT((E48-2)/20)))),"")</f>
        <v/>
      </c>
      <c r="H48" s="30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</row>
    <row r="49">
      <c r="A49" s="26">
        <f>IF(35&lt;=$E$7,35,"")</f>
        <v/>
      </c>
      <c r="B49" s="27">
        <f>IF($A49&lt;=$E$7,$E$6+35-1,"")</f>
        <v/>
      </c>
      <c r="C49" s="28">
        <f>IF($A49&lt;=$E$7,CHOOSE(WEEKDAY(B49),"Sun","Mon","Tue","Wed","Thu","Fri","Sat"),"")</f>
        <v/>
      </c>
      <c r="D49" s="23">
        <f>IF($A49&lt;=$E$7,ROUND(604*(35-1)/$E$7,0)+1,"")</f>
        <v/>
      </c>
      <c r="E49" s="23">
        <f>IF($A49&lt;=$E$7,ROUND(604*35/$E$7,0),"")</f>
        <v/>
      </c>
      <c r="F49" s="23">
        <f>IF($A49&lt;=$E$7,E49-D49+1,"")</f>
        <v/>
      </c>
      <c r="G49" s="29">
        <f>IF($A49&lt;=$E$7,IF(MAX(1,1+INT((D49-2)/20))=MIN(30,MAX(1,1+INT((E49-2)/20))),MAX(1,1+INT((D49-2)/20))&amp;"",MAX(1,1+INT((D49-2)/20))&amp;"–"&amp;MIN(30,MAX(1,1+INT((E49-2)/20)))),"")</f>
        <v/>
      </c>
      <c r="H49" s="30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</row>
    <row r="50">
      <c r="A50" s="26">
        <f>IF(36&lt;=$E$7,36,"")</f>
        <v/>
      </c>
      <c r="B50" s="27">
        <f>IF($A50&lt;=$E$7,$E$6+36-1,"")</f>
        <v/>
      </c>
      <c r="C50" s="28">
        <f>IF($A50&lt;=$E$7,CHOOSE(WEEKDAY(B50),"Sun","Mon","Tue","Wed","Thu","Fri","Sat"),"")</f>
        <v/>
      </c>
      <c r="D50" s="23">
        <f>IF($A50&lt;=$E$7,ROUND(604*(36-1)/$E$7,0)+1,"")</f>
        <v/>
      </c>
      <c r="E50" s="23">
        <f>IF($A50&lt;=$E$7,ROUND(604*36/$E$7,0),"")</f>
        <v/>
      </c>
      <c r="F50" s="23">
        <f>IF($A50&lt;=$E$7,E50-D50+1,"")</f>
        <v/>
      </c>
      <c r="G50" s="29">
        <f>IF($A50&lt;=$E$7,IF(MAX(1,1+INT((D50-2)/20))=MIN(30,MAX(1,1+INT((E50-2)/20))),MAX(1,1+INT((D50-2)/20))&amp;"",MAX(1,1+INT((D50-2)/20))&amp;"–"&amp;MIN(30,MAX(1,1+INT((E50-2)/20)))),"")</f>
        <v/>
      </c>
      <c r="H50" s="30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</row>
    <row r="51">
      <c r="A51" s="26">
        <f>IF(37&lt;=$E$7,37,"")</f>
        <v/>
      </c>
      <c r="B51" s="27">
        <f>IF($A51&lt;=$E$7,$E$6+37-1,"")</f>
        <v/>
      </c>
      <c r="C51" s="28">
        <f>IF($A51&lt;=$E$7,CHOOSE(WEEKDAY(B51),"Sun","Mon","Tue","Wed","Thu","Fri","Sat"),"")</f>
        <v/>
      </c>
      <c r="D51" s="23">
        <f>IF($A51&lt;=$E$7,ROUND(604*(37-1)/$E$7,0)+1,"")</f>
        <v/>
      </c>
      <c r="E51" s="23">
        <f>IF($A51&lt;=$E$7,ROUND(604*37/$E$7,0),"")</f>
        <v/>
      </c>
      <c r="F51" s="23">
        <f>IF($A51&lt;=$E$7,E51-D51+1,"")</f>
        <v/>
      </c>
      <c r="G51" s="29">
        <f>IF($A51&lt;=$E$7,IF(MAX(1,1+INT((D51-2)/20))=MIN(30,MAX(1,1+INT((E51-2)/20))),MAX(1,1+INT((D51-2)/20))&amp;"",MAX(1,1+INT((D51-2)/20))&amp;"–"&amp;MIN(30,MAX(1,1+INT((E51-2)/20)))),"")</f>
        <v/>
      </c>
      <c r="H51" s="30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</row>
    <row r="52">
      <c r="A52" s="26">
        <f>IF(38&lt;=$E$7,38,"")</f>
        <v/>
      </c>
      <c r="B52" s="27">
        <f>IF($A52&lt;=$E$7,$E$6+38-1,"")</f>
        <v/>
      </c>
      <c r="C52" s="28">
        <f>IF($A52&lt;=$E$7,CHOOSE(WEEKDAY(B52),"Sun","Mon","Tue","Wed","Thu","Fri","Sat"),"")</f>
        <v/>
      </c>
      <c r="D52" s="23">
        <f>IF($A52&lt;=$E$7,ROUND(604*(38-1)/$E$7,0)+1,"")</f>
        <v/>
      </c>
      <c r="E52" s="23">
        <f>IF($A52&lt;=$E$7,ROUND(604*38/$E$7,0),"")</f>
        <v/>
      </c>
      <c r="F52" s="23">
        <f>IF($A52&lt;=$E$7,E52-D52+1,"")</f>
        <v/>
      </c>
      <c r="G52" s="29">
        <f>IF($A52&lt;=$E$7,IF(MAX(1,1+INT((D52-2)/20))=MIN(30,MAX(1,1+INT((E52-2)/20))),MAX(1,1+INT((D52-2)/20))&amp;"",MAX(1,1+INT((D52-2)/20))&amp;"–"&amp;MIN(30,MAX(1,1+INT((E52-2)/20)))),"")</f>
        <v/>
      </c>
      <c r="H52" s="30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</row>
    <row r="53">
      <c r="A53" s="26">
        <f>IF(39&lt;=$E$7,39,"")</f>
        <v/>
      </c>
      <c r="B53" s="27">
        <f>IF($A53&lt;=$E$7,$E$6+39-1,"")</f>
        <v/>
      </c>
      <c r="C53" s="28">
        <f>IF($A53&lt;=$E$7,CHOOSE(WEEKDAY(B53),"Sun","Mon","Tue","Wed","Thu","Fri","Sat"),"")</f>
        <v/>
      </c>
      <c r="D53" s="23">
        <f>IF($A53&lt;=$E$7,ROUND(604*(39-1)/$E$7,0)+1,"")</f>
        <v/>
      </c>
      <c r="E53" s="23">
        <f>IF($A53&lt;=$E$7,ROUND(604*39/$E$7,0),"")</f>
        <v/>
      </c>
      <c r="F53" s="23">
        <f>IF($A53&lt;=$E$7,E53-D53+1,"")</f>
        <v/>
      </c>
      <c r="G53" s="29">
        <f>IF($A53&lt;=$E$7,IF(MAX(1,1+INT((D53-2)/20))=MIN(30,MAX(1,1+INT((E53-2)/20))),MAX(1,1+INT((D53-2)/20))&amp;"",MAX(1,1+INT((D53-2)/20))&amp;"–"&amp;MIN(30,MAX(1,1+INT((E53-2)/20)))),"")</f>
        <v/>
      </c>
      <c r="H53" s="30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</row>
    <row r="54">
      <c r="A54" s="26">
        <f>IF(40&lt;=$E$7,40,"")</f>
        <v/>
      </c>
      <c r="B54" s="27">
        <f>IF($A54&lt;=$E$7,$E$6+40-1,"")</f>
        <v/>
      </c>
      <c r="C54" s="28">
        <f>IF($A54&lt;=$E$7,CHOOSE(WEEKDAY(B54),"Sun","Mon","Tue","Wed","Thu","Fri","Sat"),"")</f>
        <v/>
      </c>
      <c r="D54" s="23">
        <f>IF($A54&lt;=$E$7,ROUND(604*(40-1)/$E$7,0)+1,"")</f>
        <v/>
      </c>
      <c r="E54" s="23">
        <f>IF($A54&lt;=$E$7,ROUND(604*40/$E$7,0),"")</f>
        <v/>
      </c>
      <c r="F54" s="23">
        <f>IF($A54&lt;=$E$7,E54-D54+1,"")</f>
        <v/>
      </c>
      <c r="G54" s="29">
        <f>IF($A54&lt;=$E$7,IF(MAX(1,1+INT((D54-2)/20))=MIN(30,MAX(1,1+INT((E54-2)/20))),MAX(1,1+INT((D54-2)/20))&amp;"",MAX(1,1+INT((D54-2)/20))&amp;"–"&amp;MIN(30,MAX(1,1+INT((E54-2)/20)))),"")</f>
        <v/>
      </c>
      <c r="H54" s="30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</row>
    <row r="55">
      <c r="A55" s="26">
        <f>IF(41&lt;=$E$7,41,"")</f>
        <v/>
      </c>
      <c r="B55" s="27">
        <f>IF($A55&lt;=$E$7,$E$6+41-1,"")</f>
        <v/>
      </c>
      <c r="C55" s="28">
        <f>IF($A55&lt;=$E$7,CHOOSE(WEEKDAY(B55),"Sun","Mon","Tue","Wed","Thu","Fri","Sat"),"")</f>
        <v/>
      </c>
      <c r="D55" s="23">
        <f>IF($A55&lt;=$E$7,ROUND(604*(41-1)/$E$7,0)+1,"")</f>
        <v/>
      </c>
      <c r="E55" s="23">
        <f>IF($A55&lt;=$E$7,ROUND(604*41/$E$7,0),"")</f>
        <v/>
      </c>
      <c r="F55" s="23">
        <f>IF($A55&lt;=$E$7,E55-D55+1,"")</f>
        <v/>
      </c>
      <c r="G55" s="29">
        <f>IF($A55&lt;=$E$7,IF(MAX(1,1+INT((D55-2)/20))=MIN(30,MAX(1,1+INT((E55-2)/20))),MAX(1,1+INT((D55-2)/20))&amp;"",MAX(1,1+INT((D55-2)/20))&amp;"–"&amp;MIN(30,MAX(1,1+INT((E55-2)/20)))),"")</f>
        <v/>
      </c>
      <c r="H55" s="30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</row>
    <row r="56">
      <c r="A56" s="26">
        <f>IF(42&lt;=$E$7,42,"")</f>
        <v/>
      </c>
      <c r="B56" s="27">
        <f>IF($A56&lt;=$E$7,$E$6+42-1,"")</f>
        <v/>
      </c>
      <c r="C56" s="28">
        <f>IF($A56&lt;=$E$7,CHOOSE(WEEKDAY(B56),"Sun","Mon","Tue","Wed","Thu","Fri","Sat"),"")</f>
        <v/>
      </c>
      <c r="D56" s="23">
        <f>IF($A56&lt;=$E$7,ROUND(604*(42-1)/$E$7,0)+1,"")</f>
        <v/>
      </c>
      <c r="E56" s="23">
        <f>IF($A56&lt;=$E$7,ROUND(604*42/$E$7,0),"")</f>
        <v/>
      </c>
      <c r="F56" s="23">
        <f>IF($A56&lt;=$E$7,E56-D56+1,"")</f>
        <v/>
      </c>
      <c r="G56" s="29">
        <f>IF($A56&lt;=$E$7,IF(MAX(1,1+INT((D56-2)/20))=MIN(30,MAX(1,1+INT((E56-2)/20))),MAX(1,1+INT((D56-2)/20))&amp;"",MAX(1,1+INT((D56-2)/20))&amp;"–"&amp;MIN(30,MAX(1,1+INT((E56-2)/20)))),"")</f>
        <v/>
      </c>
      <c r="H56" s="30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</row>
    <row r="57">
      <c r="A57" s="26">
        <f>IF(43&lt;=$E$7,43,"")</f>
        <v/>
      </c>
      <c r="B57" s="27">
        <f>IF($A57&lt;=$E$7,$E$6+43-1,"")</f>
        <v/>
      </c>
      <c r="C57" s="28">
        <f>IF($A57&lt;=$E$7,CHOOSE(WEEKDAY(B57),"Sun","Mon","Tue","Wed","Thu","Fri","Sat"),"")</f>
        <v/>
      </c>
      <c r="D57" s="23">
        <f>IF($A57&lt;=$E$7,ROUND(604*(43-1)/$E$7,0)+1,"")</f>
        <v/>
      </c>
      <c r="E57" s="23">
        <f>IF($A57&lt;=$E$7,ROUND(604*43/$E$7,0),"")</f>
        <v/>
      </c>
      <c r="F57" s="23">
        <f>IF($A57&lt;=$E$7,E57-D57+1,"")</f>
        <v/>
      </c>
      <c r="G57" s="29">
        <f>IF($A57&lt;=$E$7,IF(MAX(1,1+INT((D57-2)/20))=MIN(30,MAX(1,1+INT((E57-2)/20))),MAX(1,1+INT((D57-2)/20))&amp;"",MAX(1,1+INT((D57-2)/20))&amp;"–"&amp;MIN(30,MAX(1,1+INT((E57-2)/20)))),"")</f>
        <v/>
      </c>
      <c r="H57" s="30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</row>
    <row r="58">
      <c r="A58" s="26">
        <f>IF(44&lt;=$E$7,44,"")</f>
        <v/>
      </c>
      <c r="B58" s="27">
        <f>IF($A58&lt;=$E$7,$E$6+44-1,"")</f>
        <v/>
      </c>
      <c r="C58" s="28">
        <f>IF($A58&lt;=$E$7,CHOOSE(WEEKDAY(B58),"Sun","Mon","Tue","Wed","Thu","Fri","Sat"),"")</f>
        <v/>
      </c>
      <c r="D58" s="23">
        <f>IF($A58&lt;=$E$7,ROUND(604*(44-1)/$E$7,0)+1,"")</f>
        <v/>
      </c>
      <c r="E58" s="23">
        <f>IF($A58&lt;=$E$7,ROUND(604*44/$E$7,0),"")</f>
        <v/>
      </c>
      <c r="F58" s="23">
        <f>IF($A58&lt;=$E$7,E58-D58+1,"")</f>
        <v/>
      </c>
      <c r="G58" s="29">
        <f>IF($A58&lt;=$E$7,IF(MAX(1,1+INT((D58-2)/20))=MIN(30,MAX(1,1+INT((E58-2)/20))),MAX(1,1+INT((D58-2)/20))&amp;"",MAX(1,1+INT((D58-2)/20))&amp;"–"&amp;MIN(30,MAX(1,1+INT((E58-2)/20)))),"")</f>
        <v/>
      </c>
      <c r="H58" s="30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</row>
    <row r="59">
      <c r="A59" s="26">
        <f>IF(45&lt;=$E$7,45,"")</f>
        <v/>
      </c>
      <c r="B59" s="27">
        <f>IF($A59&lt;=$E$7,$E$6+45-1,"")</f>
        <v/>
      </c>
      <c r="C59" s="28">
        <f>IF($A59&lt;=$E$7,CHOOSE(WEEKDAY(B59),"Sun","Mon","Tue","Wed","Thu","Fri","Sat"),"")</f>
        <v/>
      </c>
      <c r="D59" s="23">
        <f>IF($A59&lt;=$E$7,ROUND(604*(45-1)/$E$7,0)+1,"")</f>
        <v/>
      </c>
      <c r="E59" s="23">
        <f>IF($A59&lt;=$E$7,ROUND(604*45/$E$7,0),"")</f>
        <v/>
      </c>
      <c r="F59" s="23">
        <f>IF($A59&lt;=$E$7,E59-D59+1,"")</f>
        <v/>
      </c>
      <c r="G59" s="29">
        <f>IF($A59&lt;=$E$7,IF(MAX(1,1+INT((D59-2)/20))=MIN(30,MAX(1,1+INT((E59-2)/20))),MAX(1,1+INT((D59-2)/20))&amp;"",MAX(1,1+INT((D59-2)/20))&amp;"–"&amp;MIN(30,MAX(1,1+INT((E59-2)/20)))),"")</f>
        <v/>
      </c>
      <c r="H59" s="30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</row>
    <row r="60">
      <c r="A60" s="26">
        <f>IF(46&lt;=$E$7,46,"")</f>
        <v/>
      </c>
      <c r="B60" s="27">
        <f>IF($A60&lt;=$E$7,$E$6+46-1,"")</f>
        <v/>
      </c>
      <c r="C60" s="28">
        <f>IF($A60&lt;=$E$7,CHOOSE(WEEKDAY(B60),"Sun","Mon","Tue","Wed","Thu","Fri","Sat"),"")</f>
        <v/>
      </c>
      <c r="D60" s="23">
        <f>IF($A60&lt;=$E$7,ROUND(604*(46-1)/$E$7,0)+1,"")</f>
        <v/>
      </c>
      <c r="E60" s="23">
        <f>IF($A60&lt;=$E$7,ROUND(604*46/$E$7,0),"")</f>
        <v/>
      </c>
      <c r="F60" s="23">
        <f>IF($A60&lt;=$E$7,E60-D60+1,"")</f>
        <v/>
      </c>
      <c r="G60" s="29">
        <f>IF($A60&lt;=$E$7,IF(MAX(1,1+INT((D60-2)/20))=MIN(30,MAX(1,1+INT((E60-2)/20))),MAX(1,1+INT((D60-2)/20))&amp;"",MAX(1,1+INT((D60-2)/20))&amp;"–"&amp;MIN(30,MAX(1,1+INT((E60-2)/20)))),"")</f>
        <v/>
      </c>
      <c r="H60" s="30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</row>
    <row r="61">
      <c r="A61" s="26">
        <f>IF(47&lt;=$E$7,47,"")</f>
        <v/>
      </c>
      <c r="B61" s="27">
        <f>IF($A61&lt;=$E$7,$E$6+47-1,"")</f>
        <v/>
      </c>
      <c r="C61" s="28">
        <f>IF($A61&lt;=$E$7,CHOOSE(WEEKDAY(B61),"Sun","Mon","Tue","Wed","Thu","Fri","Sat"),"")</f>
        <v/>
      </c>
      <c r="D61" s="23">
        <f>IF($A61&lt;=$E$7,ROUND(604*(47-1)/$E$7,0)+1,"")</f>
        <v/>
      </c>
      <c r="E61" s="23">
        <f>IF($A61&lt;=$E$7,ROUND(604*47/$E$7,0),"")</f>
        <v/>
      </c>
      <c r="F61" s="23">
        <f>IF($A61&lt;=$E$7,E61-D61+1,"")</f>
        <v/>
      </c>
      <c r="G61" s="29">
        <f>IF($A61&lt;=$E$7,IF(MAX(1,1+INT((D61-2)/20))=MIN(30,MAX(1,1+INT((E61-2)/20))),MAX(1,1+INT((D61-2)/20))&amp;"",MAX(1,1+INT((D61-2)/20))&amp;"–"&amp;MIN(30,MAX(1,1+INT((E61-2)/20)))),"")</f>
        <v/>
      </c>
      <c r="H61" s="30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</row>
    <row r="62">
      <c r="A62" s="26">
        <f>IF(48&lt;=$E$7,48,"")</f>
        <v/>
      </c>
      <c r="B62" s="27">
        <f>IF($A62&lt;=$E$7,$E$6+48-1,"")</f>
        <v/>
      </c>
      <c r="C62" s="28">
        <f>IF($A62&lt;=$E$7,CHOOSE(WEEKDAY(B62),"Sun","Mon","Tue","Wed","Thu","Fri","Sat"),"")</f>
        <v/>
      </c>
      <c r="D62" s="23">
        <f>IF($A62&lt;=$E$7,ROUND(604*(48-1)/$E$7,0)+1,"")</f>
        <v/>
      </c>
      <c r="E62" s="23">
        <f>IF($A62&lt;=$E$7,ROUND(604*48/$E$7,0),"")</f>
        <v/>
      </c>
      <c r="F62" s="23">
        <f>IF($A62&lt;=$E$7,E62-D62+1,"")</f>
        <v/>
      </c>
      <c r="G62" s="29">
        <f>IF($A62&lt;=$E$7,IF(MAX(1,1+INT((D62-2)/20))=MIN(30,MAX(1,1+INT((E62-2)/20))),MAX(1,1+INT((D62-2)/20))&amp;"",MAX(1,1+INT((D62-2)/20))&amp;"–"&amp;MIN(30,MAX(1,1+INT((E62-2)/20)))),"")</f>
        <v/>
      </c>
      <c r="H62" s="30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</row>
    <row r="63">
      <c r="A63" s="26">
        <f>IF(49&lt;=$E$7,49,"")</f>
        <v/>
      </c>
      <c r="B63" s="27">
        <f>IF($A63&lt;=$E$7,$E$6+49-1,"")</f>
        <v/>
      </c>
      <c r="C63" s="28">
        <f>IF($A63&lt;=$E$7,CHOOSE(WEEKDAY(B63),"Sun","Mon","Tue","Wed","Thu","Fri","Sat"),"")</f>
        <v/>
      </c>
      <c r="D63" s="23">
        <f>IF($A63&lt;=$E$7,ROUND(604*(49-1)/$E$7,0)+1,"")</f>
        <v/>
      </c>
      <c r="E63" s="23">
        <f>IF($A63&lt;=$E$7,ROUND(604*49/$E$7,0),"")</f>
        <v/>
      </c>
      <c r="F63" s="23">
        <f>IF($A63&lt;=$E$7,E63-D63+1,"")</f>
        <v/>
      </c>
      <c r="G63" s="29">
        <f>IF($A63&lt;=$E$7,IF(MAX(1,1+INT((D63-2)/20))=MIN(30,MAX(1,1+INT((E63-2)/20))),MAX(1,1+INT((D63-2)/20))&amp;"",MAX(1,1+INT((D63-2)/20))&amp;"–"&amp;MIN(30,MAX(1,1+INT((E63-2)/20)))),"")</f>
        <v/>
      </c>
      <c r="H63" s="30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</row>
    <row r="64">
      <c r="A64" s="26">
        <f>IF(50&lt;=$E$7,50,"")</f>
        <v/>
      </c>
      <c r="B64" s="27">
        <f>IF($A64&lt;=$E$7,$E$6+50-1,"")</f>
        <v/>
      </c>
      <c r="C64" s="28">
        <f>IF($A64&lt;=$E$7,CHOOSE(WEEKDAY(B64),"Sun","Mon","Tue","Wed","Thu","Fri","Sat"),"")</f>
        <v/>
      </c>
      <c r="D64" s="23">
        <f>IF($A64&lt;=$E$7,ROUND(604*(50-1)/$E$7,0)+1,"")</f>
        <v/>
      </c>
      <c r="E64" s="23">
        <f>IF($A64&lt;=$E$7,ROUND(604*50/$E$7,0),"")</f>
        <v/>
      </c>
      <c r="F64" s="23">
        <f>IF($A64&lt;=$E$7,E64-D64+1,"")</f>
        <v/>
      </c>
      <c r="G64" s="29">
        <f>IF($A64&lt;=$E$7,IF(MAX(1,1+INT((D64-2)/20))=MIN(30,MAX(1,1+INT((E64-2)/20))),MAX(1,1+INT((D64-2)/20))&amp;"",MAX(1,1+INT((D64-2)/20))&amp;"–"&amp;MIN(30,MAX(1,1+INT((E64-2)/20)))),"")</f>
        <v/>
      </c>
      <c r="H64" s="30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</row>
    <row r="65">
      <c r="A65" s="26">
        <f>IF(51&lt;=$E$7,51,"")</f>
        <v/>
      </c>
      <c r="B65" s="27">
        <f>IF($A65&lt;=$E$7,$E$6+51-1,"")</f>
        <v/>
      </c>
      <c r="C65" s="28">
        <f>IF($A65&lt;=$E$7,CHOOSE(WEEKDAY(B65),"Sun","Mon","Tue","Wed","Thu","Fri","Sat"),"")</f>
        <v/>
      </c>
      <c r="D65" s="23">
        <f>IF($A65&lt;=$E$7,ROUND(604*(51-1)/$E$7,0)+1,"")</f>
        <v/>
      </c>
      <c r="E65" s="23">
        <f>IF($A65&lt;=$E$7,ROUND(604*51/$E$7,0),"")</f>
        <v/>
      </c>
      <c r="F65" s="23">
        <f>IF($A65&lt;=$E$7,E65-D65+1,"")</f>
        <v/>
      </c>
      <c r="G65" s="29">
        <f>IF($A65&lt;=$E$7,IF(MAX(1,1+INT((D65-2)/20))=MIN(30,MAX(1,1+INT((E65-2)/20))),MAX(1,1+INT((D65-2)/20))&amp;"",MAX(1,1+INT((D65-2)/20))&amp;"–"&amp;MIN(30,MAX(1,1+INT((E65-2)/20)))),"")</f>
        <v/>
      </c>
      <c r="H65" s="30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</row>
    <row r="66">
      <c r="A66" s="26">
        <f>IF(52&lt;=$E$7,52,"")</f>
        <v/>
      </c>
      <c r="B66" s="27">
        <f>IF($A66&lt;=$E$7,$E$6+52-1,"")</f>
        <v/>
      </c>
      <c r="C66" s="28">
        <f>IF($A66&lt;=$E$7,CHOOSE(WEEKDAY(B66),"Sun","Mon","Tue","Wed","Thu","Fri","Sat"),"")</f>
        <v/>
      </c>
      <c r="D66" s="23">
        <f>IF($A66&lt;=$E$7,ROUND(604*(52-1)/$E$7,0)+1,"")</f>
        <v/>
      </c>
      <c r="E66" s="23">
        <f>IF($A66&lt;=$E$7,ROUND(604*52/$E$7,0),"")</f>
        <v/>
      </c>
      <c r="F66" s="23">
        <f>IF($A66&lt;=$E$7,E66-D66+1,"")</f>
        <v/>
      </c>
      <c r="G66" s="29">
        <f>IF($A66&lt;=$E$7,IF(MAX(1,1+INT((D66-2)/20))=MIN(30,MAX(1,1+INT((E66-2)/20))),MAX(1,1+INT((D66-2)/20))&amp;"",MAX(1,1+INT((D66-2)/20))&amp;"–"&amp;MIN(30,MAX(1,1+INT((E66-2)/20)))),"")</f>
        <v/>
      </c>
      <c r="H66" s="30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</row>
    <row r="67">
      <c r="A67" s="26">
        <f>IF(53&lt;=$E$7,53,"")</f>
        <v/>
      </c>
      <c r="B67" s="27">
        <f>IF($A67&lt;=$E$7,$E$6+53-1,"")</f>
        <v/>
      </c>
      <c r="C67" s="28">
        <f>IF($A67&lt;=$E$7,CHOOSE(WEEKDAY(B67),"Sun","Mon","Tue","Wed","Thu","Fri","Sat"),"")</f>
        <v/>
      </c>
      <c r="D67" s="23">
        <f>IF($A67&lt;=$E$7,ROUND(604*(53-1)/$E$7,0)+1,"")</f>
        <v/>
      </c>
      <c r="E67" s="23">
        <f>IF($A67&lt;=$E$7,ROUND(604*53/$E$7,0),"")</f>
        <v/>
      </c>
      <c r="F67" s="23">
        <f>IF($A67&lt;=$E$7,E67-D67+1,"")</f>
        <v/>
      </c>
      <c r="G67" s="29">
        <f>IF($A67&lt;=$E$7,IF(MAX(1,1+INT((D67-2)/20))=MIN(30,MAX(1,1+INT((E67-2)/20))),MAX(1,1+INT((D67-2)/20))&amp;"",MAX(1,1+INT((D67-2)/20))&amp;"–"&amp;MIN(30,MAX(1,1+INT((E67-2)/20)))),"")</f>
        <v/>
      </c>
      <c r="H67" s="30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</row>
    <row r="68">
      <c r="A68" s="26">
        <f>IF(54&lt;=$E$7,54,"")</f>
        <v/>
      </c>
      <c r="B68" s="27">
        <f>IF($A68&lt;=$E$7,$E$6+54-1,"")</f>
        <v/>
      </c>
      <c r="C68" s="28">
        <f>IF($A68&lt;=$E$7,CHOOSE(WEEKDAY(B68),"Sun","Mon","Tue","Wed","Thu","Fri","Sat"),"")</f>
        <v/>
      </c>
      <c r="D68" s="23">
        <f>IF($A68&lt;=$E$7,ROUND(604*(54-1)/$E$7,0)+1,"")</f>
        <v/>
      </c>
      <c r="E68" s="23">
        <f>IF($A68&lt;=$E$7,ROUND(604*54/$E$7,0),"")</f>
        <v/>
      </c>
      <c r="F68" s="23">
        <f>IF($A68&lt;=$E$7,E68-D68+1,"")</f>
        <v/>
      </c>
      <c r="G68" s="29">
        <f>IF($A68&lt;=$E$7,IF(MAX(1,1+INT((D68-2)/20))=MIN(30,MAX(1,1+INT((E68-2)/20))),MAX(1,1+INT((D68-2)/20))&amp;"",MAX(1,1+INT((D68-2)/20))&amp;"–"&amp;MIN(30,MAX(1,1+INT((E68-2)/20)))),"")</f>
        <v/>
      </c>
      <c r="H68" s="30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</row>
    <row r="69">
      <c r="A69" s="26">
        <f>IF(55&lt;=$E$7,55,"")</f>
        <v/>
      </c>
      <c r="B69" s="27">
        <f>IF($A69&lt;=$E$7,$E$6+55-1,"")</f>
        <v/>
      </c>
      <c r="C69" s="28">
        <f>IF($A69&lt;=$E$7,CHOOSE(WEEKDAY(B69),"Sun","Mon","Tue","Wed","Thu","Fri","Sat"),"")</f>
        <v/>
      </c>
      <c r="D69" s="23">
        <f>IF($A69&lt;=$E$7,ROUND(604*(55-1)/$E$7,0)+1,"")</f>
        <v/>
      </c>
      <c r="E69" s="23">
        <f>IF($A69&lt;=$E$7,ROUND(604*55/$E$7,0),"")</f>
        <v/>
      </c>
      <c r="F69" s="23">
        <f>IF($A69&lt;=$E$7,E69-D69+1,"")</f>
        <v/>
      </c>
      <c r="G69" s="29">
        <f>IF($A69&lt;=$E$7,IF(MAX(1,1+INT((D69-2)/20))=MIN(30,MAX(1,1+INT((E69-2)/20))),MAX(1,1+INT((D69-2)/20))&amp;"",MAX(1,1+INT((D69-2)/20))&amp;"–"&amp;MIN(30,MAX(1,1+INT((E69-2)/20)))),"")</f>
        <v/>
      </c>
      <c r="H69" s="30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</row>
    <row r="70">
      <c r="A70" s="26">
        <f>IF(56&lt;=$E$7,56,"")</f>
        <v/>
      </c>
      <c r="B70" s="27">
        <f>IF($A70&lt;=$E$7,$E$6+56-1,"")</f>
        <v/>
      </c>
      <c r="C70" s="28">
        <f>IF($A70&lt;=$E$7,CHOOSE(WEEKDAY(B70),"Sun","Mon","Tue","Wed","Thu","Fri","Sat"),"")</f>
        <v/>
      </c>
      <c r="D70" s="23">
        <f>IF($A70&lt;=$E$7,ROUND(604*(56-1)/$E$7,0)+1,"")</f>
        <v/>
      </c>
      <c r="E70" s="23">
        <f>IF($A70&lt;=$E$7,ROUND(604*56/$E$7,0),"")</f>
        <v/>
      </c>
      <c r="F70" s="23">
        <f>IF($A70&lt;=$E$7,E70-D70+1,"")</f>
        <v/>
      </c>
      <c r="G70" s="29">
        <f>IF($A70&lt;=$E$7,IF(MAX(1,1+INT((D70-2)/20))=MIN(30,MAX(1,1+INT((E70-2)/20))),MAX(1,1+INT((D70-2)/20))&amp;"",MAX(1,1+INT((D70-2)/20))&amp;"–"&amp;MIN(30,MAX(1,1+INT((E70-2)/20)))),"")</f>
        <v/>
      </c>
      <c r="H70" s="30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</row>
    <row r="71">
      <c r="A71" s="26">
        <f>IF(57&lt;=$E$7,57,"")</f>
        <v/>
      </c>
      <c r="B71" s="27">
        <f>IF($A71&lt;=$E$7,$E$6+57-1,"")</f>
        <v/>
      </c>
      <c r="C71" s="28">
        <f>IF($A71&lt;=$E$7,CHOOSE(WEEKDAY(B71),"Sun","Mon","Tue","Wed","Thu","Fri","Sat"),"")</f>
        <v/>
      </c>
      <c r="D71" s="23">
        <f>IF($A71&lt;=$E$7,ROUND(604*(57-1)/$E$7,0)+1,"")</f>
        <v/>
      </c>
      <c r="E71" s="23">
        <f>IF($A71&lt;=$E$7,ROUND(604*57/$E$7,0),"")</f>
        <v/>
      </c>
      <c r="F71" s="23">
        <f>IF($A71&lt;=$E$7,E71-D71+1,"")</f>
        <v/>
      </c>
      <c r="G71" s="29">
        <f>IF($A71&lt;=$E$7,IF(MAX(1,1+INT((D71-2)/20))=MIN(30,MAX(1,1+INT((E71-2)/20))),MAX(1,1+INT((D71-2)/20))&amp;"",MAX(1,1+INT((D71-2)/20))&amp;"–"&amp;MIN(30,MAX(1,1+INT((E71-2)/20)))),"")</f>
        <v/>
      </c>
      <c r="H71" s="30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</row>
    <row r="72">
      <c r="A72" s="26">
        <f>IF(58&lt;=$E$7,58,"")</f>
        <v/>
      </c>
      <c r="B72" s="27">
        <f>IF($A72&lt;=$E$7,$E$6+58-1,"")</f>
        <v/>
      </c>
      <c r="C72" s="28">
        <f>IF($A72&lt;=$E$7,CHOOSE(WEEKDAY(B72),"Sun","Mon","Tue","Wed","Thu","Fri","Sat"),"")</f>
        <v/>
      </c>
      <c r="D72" s="23">
        <f>IF($A72&lt;=$E$7,ROUND(604*(58-1)/$E$7,0)+1,"")</f>
        <v/>
      </c>
      <c r="E72" s="23">
        <f>IF($A72&lt;=$E$7,ROUND(604*58/$E$7,0),"")</f>
        <v/>
      </c>
      <c r="F72" s="23">
        <f>IF($A72&lt;=$E$7,E72-D72+1,"")</f>
        <v/>
      </c>
      <c r="G72" s="29">
        <f>IF($A72&lt;=$E$7,IF(MAX(1,1+INT((D72-2)/20))=MIN(30,MAX(1,1+INT((E72-2)/20))),MAX(1,1+INT((D72-2)/20))&amp;"",MAX(1,1+INT((D72-2)/20))&amp;"–"&amp;MIN(30,MAX(1,1+INT((E72-2)/20)))),"")</f>
        <v/>
      </c>
      <c r="H72" s="30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</row>
    <row r="73">
      <c r="A73" s="26">
        <f>IF(59&lt;=$E$7,59,"")</f>
        <v/>
      </c>
      <c r="B73" s="27">
        <f>IF($A73&lt;=$E$7,$E$6+59-1,"")</f>
        <v/>
      </c>
      <c r="C73" s="28">
        <f>IF($A73&lt;=$E$7,CHOOSE(WEEKDAY(B73),"Sun","Mon","Tue","Wed","Thu","Fri","Sat"),"")</f>
        <v/>
      </c>
      <c r="D73" s="23">
        <f>IF($A73&lt;=$E$7,ROUND(604*(59-1)/$E$7,0)+1,"")</f>
        <v/>
      </c>
      <c r="E73" s="23">
        <f>IF($A73&lt;=$E$7,ROUND(604*59/$E$7,0),"")</f>
        <v/>
      </c>
      <c r="F73" s="23">
        <f>IF($A73&lt;=$E$7,E73-D73+1,"")</f>
        <v/>
      </c>
      <c r="G73" s="29">
        <f>IF($A73&lt;=$E$7,IF(MAX(1,1+INT((D73-2)/20))=MIN(30,MAX(1,1+INT((E73-2)/20))),MAX(1,1+INT((D73-2)/20))&amp;"",MAX(1,1+INT((D73-2)/20))&amp;"–"&amp;MIN(30,MAX(1,1+INT((E73-2)/20)))),"")</f>
        <v/>
      </c>
      <c r="H73" s="30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</row>
    <row r="74">
      <c r="A74" s="26">
        <f>IF(60&lt;=$E$7,60,"")</f>
        <v/>
      </c>
      <c r="B74" s="27">
        <f>IF($A74&lt;=$E$7,$E$6+60-1,"")</f>
        <v/>
      </c>
      <c r="C74" s="28">
        <f>IF($A74&lt;=$E$7,CHOOSE(WEEKDAY(B74),"Sun","Mon","Tue","Wed","Thu","Fri","Sat"),"")</f>
        <v/>
      </c>
      <c r="D74" s="23">
        <f>IF($A74&lt;=$E$7,ROUND(604*(60-1)/$E$7,0)+1,"")</f>
        <v/>
      </c>
      <c r="E74" s="23">
        <f>IF($A74&lt;=$E$7,ROUND(604*60/$E$7,0),"")</f>
        <v/>
      </c>
      <c r="F74" s="23">
        <f>IF($A74&lt;=$E$7,E74-D74+1,"")</f>
        <v/>
      </c>
      <c r="G74" s="29">
        <f>IF($A74&lt;=$E$7,IF(MAX(1,1+INT((D74-2)/20))=MIN(30,MAX(1,1+INT((E74-2)/20))),MAX(1,1+INT((D74-2)/20))&amp;"",MAX(1,1+INT((D74-2)/20))&amp;"–"&amp;MIN(30,MAX(1,1+INT((E74-2)/20)))),"")</f>
        <v/>
      </c>
      <c r="H74" s="30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5">
    <mergeCell ref="E12:F12"/>
    <mergeCell ref="A8:D8"/>
    <mergeCell ref="N5:S5"/>
    <mergeCell ref="A11:H11"/>
    <mergeCell ref="N8:S8"/>
    <mergeCell ref="E8:F8"/>
    <mergeCell ref="A13:D13"/>
    <mergeCell ref="J8:M8"/>
    <mergeCell ref="E13:F13"/>
    <mergeCell ref="N9:S9"/>
    <mergeCell ref="J5:M5"/>
    <mergeCell ref="N6:S6"/>
    <mergeCell ref="E6:F6"/>
    <mergeCell ref="A6:D6"/>
    <mergeCell ref="J9:M9"/>
    <mergeCell ref="A1:S1"/>
    <mergeCell ref="A7:D7"/>
    <mergeCell ref="J6:M6"/>
    <mergeCell ref="A5:H5"/>
    <mergeCell ref="E7:F7"/>
    <mergeCell ref="A12:D12"/>
    <mergeCell ref="J15:S17"/>
    <mergeCell ref="A3:S3"/>
    <mergeCell ref="A13:H13"/>
    <mergeCell ref="J11:S11"/>
  </mergeCells>
  <conditionalFormatting sqref="A15:G74">
    <cfRule type="expression" priority="1" dxfId="0">
      <formula>AND($A15&lt;&gt;"",$H15="✔")</formula>
    </cfRule>
    <cfRule type="expression" priority="2" dxfId="1">
      <formula>$A15=""</formula>
    </cfRule>
    <cfRule type="expression" priority="3" dxfId="2">
      <formula>AND($A15&lt;&gt;"",$H15&lt;&gt;"✔",$B15&lt;TODAY())</formula>
    </cfRule>
    <cfRule type="expression" priority="4" dxfId="3">
      <formula>AND($A15&lt;&gt;"",$B15=TODAY())</formula>
    </cfRule>
  </conditionalFormatting>
  <conditionalFormatting sqref="J12">
    <cfRule type="expression" priority="5" dxfId="4">
      <formula>SUMIF($H$15:$H$74,"✔",$F$15:$F$74)&gt;=21</formula>
    </cfRule>
    <cfRule type="expression" priority="6" dxfId="5">
      <formula>AND(SUMIF($H$15:$H$74,"✔",$F$15:$F$74)&gt;=1,SUMIF($H$15:$H$74,"✔",$F$15:$F$74)&lt;21)</formula>
    </cfRule>
  </conditionalFormatting>
  <conditionalFormatting sqref="K12">
    <cfRule type="expression" priority="7" dxfId="4">
      <formula>SUMIF($H$15:$H$74,"✔",$F$15:$F$74)&gt;=41</formula>
    </cfRule>
    <cfRule type="expression" priority="8" dxfId="5">
      <formula>AND(SUMIF($H$15:$H$74,"✔",$F$15:$F$74)&gt;=22,SUMIF($H$15:$H$74,"✔",$F$15:$F$74)&lt;41)</formula>
    </cfRule>
  </conditionalFormatting>
  <conditionalFormatting sqref="L12">
    <cfRule type="expression" priority="9" dxfId="4">
      <formula>SUMIF($H$15:$H$74,"✔",$F$15:$F$74)&gt;=61</formula>
    </cfRule>
    <cfRule type="expression" priority="10" dxfId="5">
      <formula>AND(SUMIF($H$15:$H$74,"✔",$F$15:$F$74)&gt;=42,SUMIF($H$15:$H$74,"✔",$F$15:$F$74)&lt;61)</formula>
    </cfRule>
  </conditionalFormatting>
  <conditionalFormatting sqref="M12">
    <cfRule type="expression" priority="11" dxfId="4">
      <formula>SUMIF($H$15:$H$74,"✔",$F$15:$F$74)&gt;=81</formula>
    </cfRule>
    <cfRule type="expression" priority="12" dxfId="5">
      <formula>AND(SUMIF($H$15:$H$74,"✔",$F$15:$F$74)&gt;=62,SUMIF($H$15:$H$74,"✔",$F$15:$F$74)&lt;81)</formula>
    </cfRule>
  </conditionalFormatting>
  <conditionalFormatting sqref="N12">
    <cfRule type="expression" priority="13" dxfId="4">
      <formula>SUMIF($H$15:$H$74,"✔",$F$15:$F$74)&gt;=101</formula>
    </cfRule>
    <cfRule type="expression" priority="14" dxfId="5">
      <formula>AND(SUMIF($H$15:$H$74,"✔",$F$15:$F$74)&gt;=82,SUMIF($H$15:$H$74,"✔",$F$15:$F$74)&lt;101)</formula>
    </cfRule>
  </conditionalFormatting>
  <conditionalFormatting sqref="O12">
    <cfRule type="expression" priority="15" dxfId="4">
      <formula>SUMIF($H$15:$H$74,"✔",$F$15:$F$74)&gt;=121</formula>
    </cfRule>
    <cfRule type="expression" priority="16" dxfId="5">
      <formula>AND(SUMIF($H$15:$H$74,"✔",$F$15:$F$74)&gt;=102,SUMIF($H$15:$H$74,"✔",$F$15:$F$74)&lt;121)</formula>
    </cfRule>
  </conditionalFormatting>
  <conditionalFormatting sqref="P12">
    <cfRule type="expression" priority="17" dxfId="4">
      <formula>SUMIF($H$15:$H$74,"✔",$F$15:$F$74)&gt;=141</formula>
    </cfRule>
    <cfRule type="expression" priority="18" dxfId="5">
      <formula>AND(SUMIF($H$15:$H$74,"✔",$F$15:$F$74)&gt;=122,SUMIF($H$15:$H$74,"✔",$F$15:$F$74)&lt;141)</formula>
    </cfRule>
  </conditionalFormatting>
  <conditionalFormatting sqref="Q12">
    <cfRule type="expression" priority="19" dxfId="4">
      <formula>SUMIF($H$15:$H$74,"✔",$F$15:$F$74)&gt;=161</formula>
    </cfRule>
    <cfRule type="expression" priority="20" dxfId="5">
      <formula>AND(SUMIF($H$15:$H$74,"✔",$F$15:$F$74)&gt;=142,SUMIF($H$15:$H$74,"✔",$F$15:$F$74)&lt;161)</formula>
    </cfRule>
  </conditionalFormatting>
  <conditionalFormatting sqref="R12">
    <cfRule type="expression" priority="21" dxfId="4">
      <formula>SUMIF($H$15:$H$74,"✔",$F$15:$F$74)&gt;=181</formula>
    </cfRule>
    <cfRule type="expression" priority="22" dxfId="5">
      <formula>AND(SUMIF($H$15:$H$74,"✔",$F$15:$F$74)&gt;=162,SUMIF($H$15:$H$74,"✔",$F$15:$F$74)&lt;181)</formula>
    </cfRule>
  </conditionalFormatting>
  <conditionalFormatting sqref="S12">
    <cfRule type="expression" priority="23" dxfId="4">
      <formula>SUMIF($H$15:$H$74,"✔",$F$15:$F$74)&gt;=201</formula>
    </cfRule>
    <cfRule type="expression" priority="24" dxfId="5">
      <formula>AND(SUMIF($H$15:$H$74,"✔",$F$15:$F$74)&gt;=182,SUMIF($H$15:$H$74,"✔",$F$15:$F$74)&lt;201)</formula>
    </cfRule>
  </conditionalFormatting>
  <conditionalFormatting sqref="J13">
    <cfRule type="expression" priority="25" dxfId="4">
      <formula>SUMIF($H$15:$H$74,"✔",$F$15:$F$74)&gt;=221</formula>
    </cfRule>
    <cfRule type="expression" priority="26" dxfId="5">
      <formula>AND(SUMIF($H$15:$H$74,"✔",$F$15:$F$74)&gt;=202,SUMIF($H$15:$H$74,"✔",$F$15:$F$74)&lt;221)</formula>
    </cfRule>
  </conditionalFormatting>
  <conditionalFormatting sqref="K13">
    <cfRule type="expression" priority="27" dxfId="4">
      <formula>SUMIF($H$15:$H$74,"✔",$F$15:$F$74)&gt;=241</formula>
    </cfRule>
    <cfRule type="expression" priority="28" dxfId="5">
      <formula>AND(SUMIF($H$15:$H$74,"✔",$F$15:$F$74)&gt;=222,SUMIF($H$15:$H$74,"✔",$F$15:$F$74)&lt;241)</formula>
    </cfRule>
  </conditionalFormatting>
  <conditionalFormatting sqref="L13">
    <cfRule type="expression" priority="29" dxfId="4">
      <formula>SUMIF($H$15:$H$74,"✔",$F$15:$F$74)&gt;=261</formula>
    </cfRule>
    <cfRule type="expression" priority="30" dxfId="5">
      <formula>AND(SUMIF($H$15:$H$74,"✔",$F$15:$F$74)&gt;=242,SUMIF($H$15:$H$74,"✔",$F$15:$F$74)&lt;261)</formula>
    </cfRule>
  </conditionalFormatting>
  <conditionalFormatting sqref="M13">
    <cfRule type="expression" priority="31" dxfId="4">
      <formula>SUMIF($H$15:$H$74,"✔",$F$15:$F$74)&gt;=281</formula>
    </cfRule>
    <cfRule type="expression" priority="32" dxfId="5">
      <formula>AND(SUMIF($H$15:$H$74,"✔",$F$15:$F$74)&gt;=262,SUMIF($H$15:$H$74,"✔",$F$15:$F$74)&lt;281)</formula>
    </cfRule>
  </conditionalFormatting>
  <conditionalFormatting sqref="N13">
    <cfRule type="expression" priority="33" dxfId="4">
      <formula>SUMIF($H$15:$H$74,"✔",$F$15:$F$74)&gt;=301</formula>
    </cfRule>
    <cfRule type="expression" priority="34" dxfId="5">
      <formula>AND(SUMIF($H$15:$H$74,"✔",$F$15:$F$74)&gt;=282,SUMIF($H$15:$H$74,"✔",$F$15:$F$74)&lt;301)</formula>
    </cfRule>
  </conditionalFormatting>
  <conditionalFormatting sqref="O13">
    <cfRule type="expression" priority="35" dxfId="4">
      <formula>SUMIF($H$15:$H$74,"✔",$F$15:$F$74)&gt;=321</formula>
    </cfRule>
    <cfRule type="expression" priority="36" dxfId="5">
      <formula>AND(SUMIF($H$15:$H$74,"✔",$F$15:$F$74)&gt;=302,SUMIF($H$15:$H$74,"✔",$F$15:$F$74)&lt;321)</formula>
    </cfRule>
  </conditionalFormatting>
  <conditionalFormatting sqref="P13">
    <cfRule type="expression" priority="37" dxfId="4">
      <formula>SUMIF($H$15:$H$74,"✔",$F$15:$F$74)&gt;=341</formula>
    </cfRule>
    <cfRule type="expression" priority="38" dxfId="5">
      <formula>AND(SUMIF($H$15:$H$74,"✔",$F$15:$F$74)&gt;=322,SUMIF($H$15:$H$74,"✔",$F$15:$F$74)&lt;341)</formula>
    </cfRule>
  </conditionalFormatting>
  <conditionalFormatting sqref="Q13">
    <cfRule type="expression" priority="39" dxfId="4">
      <formula>SUMIF($H$15:$H$74,"✔",$F$15:$F$74)&gt;=361</formula>
    </cfRule>
    <cfRule type="expression" priority="40" dxfId="5">
      <formula>AND(SUMIF($H$15:$H$74,"✔",$F$15:$F$74)&gt;=342,SUMIF($H$15:$H$74,"✔",$F$15:$F$74)&lt;361)</formula>
    </cfRule>
  </conditionalFormatting>
  <conditionalFormatting sqref="R13">
    <cfRule type="expression" priority="41" dxfId="4">
      <formula>SUMIF($H$15:$H$74,"✔",$F$15:$F$74)&gt;=381</formula>
    </cfRule>
    <cfRule type="expression" priority="42" dxfId="5">
      <formula>AND(SUMIF($H$15:$H$74,"✔",$F$15:$F$74)&gt;=362,SUMIF($H$15:$H$74,"✔",$F$15:$F$74)&lt;381)</formula>
    </cfRule>
  </conditionalFormatting>
  <conditionalFormatting sqref="S13">
    <cfRule type="expression" priority="43" dxfId="4">
      <formula>SUMIF($H$15:$H$74,"✔",$F$15:$F$74)&gt;=401</formula>
    </cfRule>
    <cfRule type="expression" priority="44" dxfId="5">
      <formula>AND(SUMIF($H$15:$H$74,"✔",$F$15:$F$74)&gt;=382,SUMIF($H$15:$H$74,"✔",$F$15:$F$74)&lt;401)</formula>
    </cfRule>
  </conditionalFormatting>
  <conditionalFormatting sqref="J14">
    <cfRule type="expression" priority="45" dxfId="4">
      <formula>SUMIF($H$15:$H$74,"✔",$F$15:$F$74)&gt;=421</formula>
    </cfRule>
    <cfRule type="expression" priority="46" dxfId="5">
      <formula>AND(SUMIF($H$15:$H$74,"✔",$F$15:$F$74)&gt;=402,SUMIF($H$15:$H$74,"✔",$F$15:$F$74)&lt;421)</formula>
    </cfRule>
  </conditionalFormatting>
  <conditionalFormatting sqref="K14">
    <cfRule type="expression" priority="47" dxfId="4">
      <formula>SUMIF($H$15:$H$74,"✔",$F$15:$F$74)&gt;=441</formula>
    </cfRule>
    <cfRule type="expression" priority="48" dxfId="5">
      <formula>AND(SUMIF($H$15:$H$74,"✔",$F$15:$F$74)&gt;=422,SUMIF($H$15:$H$74,"✔",$F$15:$F$74)&lt;441)</formula>
    </cfRule>
  </conditionalFormatting>
  <conditionalFormatting sqref="L14">
    <cfRule type="expression" priority="49" dxfId="4">
      <formula>SUMIF($H$15:$H$74,"✔",$F$15:$F$74)&gt;=461</formula>
    </cfRule>
    <cfRule type="expression" priority="50" dxfId="5">
      <formula>AND(SUMIF($H$15:$H$74,"✔",$F$15:$F$74)&gt;=442,SUMIF($H$15:$H$74,"✔",$F$15:$F$74)&lt;461)</formula>
    </cfRule>
  </conditionalFormatting>
  <conditionalFormatting sqref="M14">
    <cfRule type="expression" priority="51" dxfId="4">
      <formula>SUMIF($H$15:$H$74,"✔",$F$15:$F$74)&gt;=481</formula>
    </cfRule>
    <cfRule type="expression" priority="52" dxfId="5">
      <formula>AND(SUMIF($H$15:$H$74,"✔",$F$15:$F$74)&gt;=462,SUMIF($H$15:$H$74,"✔",$F$15:$F$74)&lt;481)</formula>
    </cfRule>
  </conditionalFormatting>
  <conditionalFormatting sqref="N14">
    <cfRule type="expression" priority="53" dxfId="4">
      <formula>SUMIF($H$15:$H$74,"✔",$F$15:$F$74)&gt;=501</formula>
    </cfRule>
    <cfRule type="expression" priority="54" dxfId="5">
      <formula>AND(SUMIF($H$15:$H$74,"✔",$F$15:$F$74)&gt;=482,SUMIF($H$15:$H$74,"✔",$F$15:$F$74)&lt;501)</formula>
    </cfRule>
  </conditionalFormatting>
  <conditionalFormatting sqref="O14">
    <cfRule type="expression" priority="55" dxfId="4">
      <formula>SUMIF($H$15:$H$74,"✔",$F$15:$F$74)&gt;=521</formula>
    </cfRule>
    <cfRule type="expression" priority="56" dxfId="5">
      <formula>AND(SUMIF($H$15:$H$74,"✔",$F$15:$F$74)&gt;=502,SUMIF($H$15:$H$74,"✔",$F$15:$F$74)&lt;521)</formula>
    </cfRule>
  </conditionalFormatting>
  <conditionalFormatting sqref="P14">
    <cfRule type="expression" priority="57" dxfId="4">
      <formula>SUMIF($H$15:$H$74,"✔",$F$15:$F$74)&gt;=541</formula>
    </cfRule>
    <cfRule type="expression" priority="58" dxfId="5">
      <formula>AND(SUMIF($H$15:$H$74,"✔",$F$15:$F$74)&gt;=522,SUMIF($H$15:$H$74,"✔",$F$15:$F$74)&lt;541)</formula>
    </cfRule>
  </conditionalFormatting>
  <conditionalFormatting sqref="Q14">
    <cfRule type="expression" priority="59" dxfId="4">
      <formula>SUMIF($H$15:$H$74,"✔",$F$15:$F$74)&gt;=561</formula>
    </cfRule>
    <cfRule type="expression" priority="60" dxfId="5">
      <formula>AND(SUMIF($H$15:$H$74,"✔",$F$15:$F$74)&gt;=542,SUMIF($H$15:$H$74,"✔",$F$15:$F$74)&lt;561)</formula>
    </cfRule>
  </conditionalFormatting>
  <conditionalFormatting sqref="R14">
    <cfRule type="expression" priority="61" dxfId="4">
      <formula>SUMIF($H$15:$H$74,"✔",$F$15:$F$74)&gt;=581</formula>
    </cfRule>
    <cfRule type="expression" priority="62" dxfId="5">
      <formula>AND(SUMIF($H$15:$H$74,"✔",$F$15:$F$74)&gt;=562,SUMIF($H$15:$H$74,"✔",$F$15:$F$74)&lt;581)</formula>
    </cfRule>
  </conditionalFormatting>
  <conditionalFormatting sqref="S14">
    <cfRule type="expression" priority="63" dxfId="4">
      <formula>SUMIF($H$15:$H$74,"✔",$F$15:$F$74)&gt;=604</formula>
    </cfRule>
    <cfRule type="expression" priority="64" dxfId="5">
      <formula>AND(SUMIF($H$15:$H$74,"✔",$F$15:$F$74)&gt;=582,SUMIF($H$15:$H$74,"✔",$F$15:$F$74)&lt;604)</formula>
    </cfRule>
  </conditionalFormatting>
  <dataValidations count="4">
    <dataValidation sqref="E6" showDropDown="0" showInputMessage="0" showErrorMessage="1" allowBlank="1" errorTitle="Sheetaky" error="Enter a valid date" type="date" operator="greaterThan">
      <formula1>1</formula1>
    </dataValidation>
    <dataValidation sqref="E7" showDropDown="0" showInputMessage="0" showErrorMessage="1" allowBlank="1" errorTitle="Sheetaky" error="Enter a number between 7 and 60" type="whole" operator="between">
      <formula1>7</formula1>
      <formula2>60</formula2>
    </dataValidation>
    <dataValidation sqref="E8" showDropDown="0" showInputMessage="0" showErrorMessage="1" allowBlank="1" errorTitle="Sheetaky" error="Enter a number between 1 and 10" type="whole" operator="between">
      <formula1>1</formula1>
      <formula2>10</formula2>
    </dataValidation>
    <dataValidation sqref="H15:H74" showDropDown="0" showInputMessage="0" showErrorMessage="1" allowBlank="1" errorTitle="Sheetaky" error="Pick a value from the list" type="list">
      <formula1>"✔"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How to use: Quran Khatma Plan</t>
        </is>
      </c>
      <c r="B1" s="2" t="n"/>
    </row>
    <row r="2" ht="18" customHeight="1">
      <c r="A2" s="32" t="inlineStr">
        <is>
          <t>Sheetaky.com · Ready Excel sheets in Arabic and English</t>
        </is>
      </c>
      <c r="B2" s="33" t="n"/>
    </row>
    <row r="4" ht="22" customHeight="1">
      <c r="A4" s="6" t="inlineStr">
        <is>
          <t>What is this sheet?</t>
        </is>
      </c>
      <c r="B4" s="7" t="n"/>
    </row>
    <row r="5" ht="30" customHeight="1">
      <c r="A5" s="34" t="inlineStr">
        <is>
          <t>Splits the Mushaf (604 pages) over the number of days you choose and gives your daily and per-prayer wird and a 30-juz map.</t>
        </is>
      </c>
    </row>
    <row r="7" ht="22" customHeight="1">
      <c r="A7" s="6" t="inlineStr">
        <is>
          <t>Steps</t>
        </is>
      </c>
      <c r="B7" s="7" t="n"/>
    </row>
    <row r="8" ht="20" customHeight="1">
      <c r="A8" s="35" t="n">
        <v>1</v>
      </c>
      <c r="B8" s="34" t="inlineStr">
        <is>
          <t>Enter the start date and the number of days.</t>
        </is>
      </c>
    </row>
    <row r="9" ht="20" customHeight="1">
      <c r="A9" s="35" t="n">
        <v>2</v>
      </c>
      <c r="B9" s="34" t="inlineStr">
        <is>
          <t>Read the daily pages and the pages after each prayer.</t>
        </is>
      </c>
    </row>
    <row r="10" ht="20" customHeight="1">
      <c r="A10" s="35" t="n">
        <v>3</v>
      </c>
      <c r="B10" s="34" t="inlineStr">
        <is>
          <t>Tick ✔ against each day you finish.</t>
        </is>
      </c>
    </row>
    <row r="11" ht="20" customHeight="1">
      <c r="A11" s="35" t="n">
        <v>4</v>
      </c>
      <c r="B11" s="34" t="inlineStr">
        <is>
          <t>Follow your progress and the juz map.</t>
        </is>
      </c>
    </row>
    <row r="13" ht="22" customHeight="1">
      <c r="A13" s="6" t="inlineStr">
        <is>
          <t>Color legend</t>
        </is>
      </c>
      <c r="B13" s="7" t="n"/>
    </row>
    <row r="14">
      <c r="A14" s="36" t="inlineStr"/>
      <c r="B14" s="34" t="inlineStr">
        <is>
          <t>Input cell: type or choose your value here (blue text on yellow).</t>
        </is>
      </c>
    </row>
    <row r="15">
      <c r="A15" s="37" t="inlineStr"/>
      <c r="B15" s="34" t="inlineStr">
        <is>
          <t>Calculated cell: automatic formula, protected from accidental edits.</t>
        </is>
      </c>
    </row>
    <row r="16">
      <c r="A16" s="38" t="inlineStr"/>
      <c r="B16" s="34" t="inlineStr">
        <is>
          <t>Table and section headers.</t>
        </is>
      </c>
    </row>
    <row r="18" ht="22" customHeight="1">
      <c r="A18" s="6" t="inlineStr">
        <is>
          <t>Important notes</t>
        </is>
      </c>
      <c r="B18" s="7" t="n"/>
    </row>
    <row r="19" ht="20" customHeight="1">
      <c r="A19" s="39" t="inlineStr">
        <is>
          <t>•</t>
        </is>
      </c>
      <c r="B19" s="40" t="inlineStr">
        <is>
          <t>Numbering follows the Madinah Mushaf (604 pages, about 20 pages per juz).</t>
        </is>
      </c>
    </row>
    <row r="20" ht="20" customHeight="1">
      <c r="A20" s="39" t="inlineStr">
        <is>
          <t>•</t>
        </is>
      </c>
      <c r="B20" s="40" t="inlineStr">
        <is>
          <t>Red rows are missed days and green are completed.</t>
        </is>
      </c>
    </row>
    <row r="21" ht="30" customHeight="1">
      <c r="A21" s="39" t="inlineStr">
        <is>
          <t>•</t>
        </is>
      </c>
      <c r="B21" s="40" t="inlineStr">
        <is>
          <t>Sheets are protected without a password to keep formulas safe. To unprotect: Review → Unprotect Sheet.</t>
        </is>
      </c>
    </row>
    <row r="22" ht="20" customHeight="1">
      <c r="A22" s="39" t="inlineStr">
        <is>
          <t>•</t>
        </is>
      </c>
      <c r="B22" s="40" t="inlineStr">
        <is>
          <t>The data shown is a worked example. Clear it and type your own data in the yellow cells only.</t>
        </is>
      </c>
    </row>
    <row r="23" ht="20" customHeight="1">
      <c r="A23" s="39" t="inlineStr">
        <is>
          <t>•</t>
        </is>
      </c>
      <c r="B23" s="4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KHT</dc:title>
  <dcterms:created xmlns:dcterms="http://purl.org/dc/terms/" xmlns:xsi="http://www.w3.org/2001/XMLSchema-instance" xsi:type="dcterms:W3CDTF">2026-10-23T08:33:54Z</dcterms:created>
  <dcterms:modified xmlns:dcterms="http://purl.org/dc/terms/" xmlns:xsi="http://www.w3.org/2001/XMLSchema-instance" xsi:type="dcterms:W3CDTF">2026-10-23T08:33:54Z</dcterms:modified>
</cp:coreProperties>
</file>