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nch List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15">
    <font>
      <name val="Calibri"/>
      <family val="2"/>
      <color theme="1"/>
      <sz val="11"/>
      <scheme val="minor"/>
    </font>
    <font>
      <name val="Segoe UI"/>
      <b val="1"/>
      <color rgb="00FFFFFF"/>
      <sz val="20"/>
    </font>
    <font>
      <name val="Segoe UI"/>
      <i val="1"/>
      <color rgb="005C7566"/>
      <sz val="9"/>
    </font>
    <font>
      <name val="Segoe UI"/>
      <b val="1"/>
      <color rgb="00FFFFFF"/>
      <sz val="10"/>
    </font>
    <font>
      <name val="Segoe UI"/>
      <color rgb="001F4FB5"/>
      <sz val="10"/>
    </font>
    <font>
      <name val="Segoe UI"/>
      <b val="1"/>
      <color rgb="0014532D"/>
      <sz val="11"/>
    </font>
    <font>
      <name val="Segoe UI"/>
      <b val="1"/>
      <color rgb="00142A1B"/>
      <sz val="10"/>
    </font>
    <font>
      <name val="Segoe UI"/>
      <color rgb="00142A1B"/>
      <sz val="10"/>
    </font>
    <font>
      <name val="Segoe UI"/>
      <b val="1"/>
      <color rgb="00FFFFFF"/>
      <sz val="9"/>
    </font>
    <font>
      <name val="Segoe UI"/>
      <b val="1"/>
      <color rgb="00EAB308"/>
      <sz val="18"/>
    </font>
    <font>
      <name val="Segoe UI"/>
      <b val="1"/>
      <color rgb="005C7566"/>
      <sz val="9"/>
    </font>
    <font>
      <name val="Segoe UI"/>
      <b val="1"/>
      <color rgb="00166534"/>
      <sz val="18"/>
    </font>
    <font>
      <name val="Segoe UI"/>
      <b val="1"/>
      <color rgb="00FFFFFF"/>
      <sz val="16"/>
    </font>
    <font>
      <name val="Segoe UI"/>
      <color rgb="00FFFFFF"/>
      <sz val="9"/>
    </font>
    <font>
      <name val="Segoe UI"/>
      <b val="1"/>
      <color rgb="00EAB308"/>
      <sz val="10"/>
    </font>
  </fonts>
  <fills count="9">
    <fill>
      <patternFill/>
    </fill>
    <fill>
      <patternFill patternType="gray125"/>
    </fill>
    <fill>
      <patternFill patternType="solid">
        <fgColor rgb="00F1F8F2"/>
      </patternFill>
    </fill>
    <fill>
      <patternFill patternType="solid">
        <fgColor rgb="00166534"/>
      </patternFill>
    </fill>
    <fill>
      <patternFill patternType="solid">
        <fgColor rgb="00EAB308"/>
      </patternFill>
    </fill>
    <fill>
      <patternFill patternType="solid">
        <fgColor rgb="00FEF9C3"/>
      </patternFill>
    </fill>
    <fill>
      <patternFill patternType="solid">
        <fgColor rgb="00D6EBDB"/>
      </patternFill>
    </fill>
    <fill>
      <patternFill patternType="solid">
        <fgColor rgb="00DCEFE1"/>
      </patternFill>
    </fill>
    <fill>
      <patternFill patternType="solid">
        <fgColor rgb="0014532D"/>
      </patternFill>
    </fill>
  </fills>
  <borders count="8">
    <border>
      <left/>
      <right/>
      <top/>
      <bottom/>
      <diagonal/>
    </border>
    <border>
      <left style="thin">
        <color rgb="00B4D7BF"/>
      </left>
      <right style="thin">
        <color rgb="00B4D7BF"/>
      </right>
      <top style="thin">
        <color rgb="00B4D7BF"/>
      </top>
      <bottom style="thin">
        <color rgb="00B4D7BF"/>
      </bottom>
    </border>
    <border>
      <top style="medium">
        <color rgb="00EAB308"/>
      </top>
    </border>
    <border/>
    <border>
      <left/>
      <right/>
      <top style="thin">
        <color rgb="00B4D7BF"/>
      </top>
      <bottom/>
      <diagonal/>
    </border>
    <border>
      <left/>
      <right style="thin">
        <color rgb="00B4D7BF"/>
      </right>
      <top style="thin">
        <color rgb="00B4D7BF"/>
      </top>
      <bottom/>
      <diagonal/>
    </border>
    <border>
      <left/>
      <right/>
      <top style="thin">
        <color rgb="00B4D7BF"/>
      </top>
      <bottom style="thin">
        <color rgb="00B4D7BF"/>
      </bottom>
      <diagonal/>
    </border>
    <border>
      <left/>
      <right style="thin">
        <color rgb="00B4D7BF"/>
      </right>
      <top style="thin">
        <color rgb="00B4D7BF"/>
      </top>
      <bottom style="thin">
        <color rgb="00B4D7BF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0" fillId="4" borderId="0" pivotButton="0" quotePrefix="0" xfId="0"/>
    <xf numFmtId="0" fontId="2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3" fillId="3" borderId="1" applyAlignment="1" pivotButton="0" quotePrefix="0" xfId="0">
      <alignment horizontal="center" vertical="center" wrapText="1" readingOrder="1"/>
    </xf>
    <xf numFmtId="0" fontId="5" fillId="6" borderId="1" applyAlignment="1" pivotButton="0" quotePrefix="0" xfId="0">
      <alignment horizontal="left" vertical="center" wrapText="1" readingOrder="1"/>
    </xf>
    <xf numFmtId="0" fontId="0" fillId="6" borderId="1" pivotButton="0" quotePrefix="0" xfId="0"/>
    <xf numFmtId="0" fontId="8" fillId="8" borderId="2" applyAlignment="1" pivotButton="0" quotePrefix="0" xfId="0">
      <alignment horizontal="center" vertical="center" wrapText="1" readingOrder="1"/>
    </xf>
    <xf numFmtId="0" fontId="0" fillId="8" borderId="2" pivotButton="0" quotePrefix="0" xfId="0"/>
    <xf numFmtId="0" fontId="10" fillId="6" borderId="2" applyAlignment="1" pivotButton="0" quotePrefix="0" xfId="0">
      <alignment horizontal="center" vertical="center" wrapText="1" readingOrder="1"/>
    </xf>
    <xf numFmtId="0" fontId="0" fillId="6" borderId="2" pivotButton="0" quotePrefix="0" xfId="0"/>
    <xf numFmtId="0" fontId="4" fillId="5" borderId="1" applyAlignment="1" applyProtection="1" pivotButton="0" quotePrefix="0" xfId="0">
      <alignment horizontal="center" vertical="center" wrapText="1" readingOrder="1"/>
      <protection locked="0" hidden="0"/>
    </xf>
    <xf numFmtId="1" fontId="7" fillId="0" borderId="1" applyAlignment="1" pivotButton="0" quotePrefix="0" xfId="0">
      <alignment horizontal="center" vertical="center" wrapText="1" readingOrder="1"/>
    </xf>
    <xf numFmtId="0" fontId="6" fillId="2" borderId="1" applyAlignment="1" pivotButton="0" quotePrefix="0" xfId="0">
      <alignment horizontal="left" vertical="center" wrapText="1" readingOrder="1"/>
    </xf>
    <xf numFmtId="164" fontId="4" fillId="5" borderId="1" applyAlignment="1" applyProtection="1" pivotButton="0" quotePrefix="0" xfId="0">
      <alignment horizontal="center" vertical="center" wrapText="1" readingOrder="1"/>
      <protection locked="0" hidden="0"/>
    </xf>
    <xf numFmtId="1" fontId="9" fillId="3" borderId="3" applyAlignment="1" pivotButton="0" quotePrefix="0" xfId="0">
      <alignment horizontal="center" vertical="center" wrapText="1" readingOrder="1"/>
    </xf>
    <xf numFmtId="0" fontId="0" fillId="3" borderId="3" pivotButton="0" quotePrefix="0" xfId="0"/>
    <xf numFmtId="9" fontId="11" fillId="7" borderId="3" applyAlignment="1" pivotButton="0" quotePrefix="0" xfId="0">
      <alignment horizontal="center" vertical="center" wrapText="1" readingOrder="1"/>
    </xf>
    <xf numFmtId="0" fontId="0" fillId="7" borderId="3" pivotButton="0" quotePrefix="0" xfId="0"/>
    <xf numFmtId="1" fontId="11" fillId="7" borderId="3" applyAlignment="1" pivotButton="0" quotePrefix="0" xfId="0">
      <alignment horizontal="center" vertical="center" wrapText="1" readingOrder="1"/>
    </xf>
    <xf numFmtId="1" fontId="4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7" borderId="1" applyAlignment="1" pivotButton="0" quotePrefix="0" xfId="0">
      <alignment horizontal="center" vertical="center" wrapText="1" readingOrder="1"/>
    </xf>
    <xf numFmtId="0" fontId="6" fillId="6" borderId="1" applyAlignment="1" pivotButton="0" quotePrefix="0" xfId="0">
      <alignment horizontal="center" vertical="center" wrapText="1" readingOrder="1"/>
    </xf>
    <xf numFmtId="0" fontId="6" fillId="2" borderId="1" applyAlignment="1" pivotButton="0" quotePrefix="0" xfId="0">
      <alignment horizontal="center" vertical="center" wrapText="1" readingOrder="1"/>
    </xf>
    <xf numFmtId="1" fontId="7" fillId="7" borderId="1" applyAlignment="1" pivotButton="0" quotePrefix="0" xfId="0">
      <alignment horizontal="center" vertical="center" wrapText="1" readingOrder="1"/>
    </xf>
    <xf numFmtId="9" fontId="7" fillId="7" borderId="1" applyAlignment="1" pivotButton="0" quotePrefix="0" xfId="0">
      <alignment horizontal="center" vertical="center" wrapText="1" readingOrder="1"/>
    </xf>
    <xf numFmtId="0" fontId="0" fillId="0" borderId="6" pivotButton="0" quotePrefix="0" xfId="0"/>
    <xf numFmtId="0" fontId="0" fillId="0" borderId="7" pivotButton="0" quotePrefix="0" xfId="0"/>
    <xf numFmtId="165" fontId="7" fillId="7" borderId="1" applyAlignment="1" pivotButton="0" quotePrefix="0" xfId="0">
      <alignment horizontal="center" vertical="center" wrapText="1" readingOrder="1"/>
    </xf>
    <xf numFmtId="0" fontId="4" fillId="5" borderId="1" applyAlignment="1" applyProtection="1" pivotButton="0" quotePrefix="0" xfId="0">
      <alignment horizontal="left" vertical="center" wrapText="1" readingOrder="1"/>
      <protection locked="0" hidden="0"/>
    </xf>
    <xf numFmtId="164" fontId="7" fillId="7" borderId="1" applyAlignment="1" pivotButton="0" quotePrefix="0" xfId="0">
      <alignment horizontal="center" vertical="center" wrapText="1" readingOrder="1"/>
    </xf>
    <xf numFmtId="0" fontId="7" fillId="7" borderId="1" applyAlignment="1" pivotButton="0" quotePrefix="0" xfId="0">
      <alignment horizontal="center" vertical="center" wrapText="1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8" borderId="0" applyAlignment="1" pivotButton="0" quotePrefix="0" xfId="0">
      <alignment horizontal="center" vertical="center" wrapText="1" readingOrder="1"/>
    </xf>
    <xf numFmtId="0" fontId="0" fillId="8" borderId="0" pivotButton="0" quotePrefix="0" xfId="0"/>
    <xf numFmtId="0" fontId="7" fillId="0" borderId="1" applyAlignment="1" pivotButton="0" quotePrefix="0" xfId="0">
      <alignment horizontal="left" vertical="center" wrapText="1" readingOrder="1"/>
    </xf>
    <xf numFmtId="0" fontId="3" fillId="3" borderId="1" applyAlignment="1" pivotButton="0" quotePrefix="0" xfId="0">
      <alignment horizontal="left" vertical="center" wrapText="1" readingOrder="1"/>
    </xf>
    <xf numFmtId="0" fontId="7" fillId="7" borderId="1" applyAlignment="1" pivotButton="0" quotePrefix="0" xfId="0">
      <alignment horizontal="left" vertical="center" wrapText="1" readingOrder="1"/>
    </xf>
    <xf numFmtId="0" fontId="7" fillId="3" borderId="1" applyAlignment="1" pivotButton="0" quotePrefix="0" xfId="0">
      <alignment horizontal="left" vertical="center" wrapText="1" readingOrder="1"/>
    </xf>
    <xf numFmtId="0" fontId="14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5">
    <dxf>
      <font>
        <name val="Segoe UI"/>
        <b val="1"/>
        <color rgb="00FFFFFF"/>
      </font>
      <fill>
        <patternFill patternType="solid">
          <fgColor rgb="00E57373"/>
        </patternFill>
      </fill>
    </dxf>
    <dxf>
      <font>
        <name val="Segoe UI"/>
        <color rgb="00142A1B"/>
      </font>
      <fill>
        <patternFill patternType="solid">
          <fgColor rgb="00B7E1A1"/>
        </patternFill>
      </fill>
    </dxf>
    <dxf>
      <font>
        <name val="Segoe UI"/>
        <color rgb="008A8F8C"/>
      </font>
      <fill>
        <patternFill patternType="solid">
          <fgColor rgb="00E3E6E4"/>
        </patternFill>
      </fill>
    </dxf>
    <dxf>
      <font>
        <name val="Segoe UI"/>
        <b val="1"/>
        <color rgb="00142A1B"/>
      </font>
      <fill>
        <patternFill patternType="solid">
          <fgColor rgb="00F9D5D0"/>
        </patternFill>
      </fill>
    </dxf>
    <dxf>
      <font>
        <name val="Segoe UI"/>
        <color rgb="00142A1B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items by discipline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66534"/>
            </a:solidFill>
            <a:ln xmlns:a="http://schemas.openxmlformats.org/drawingml/2006/main">
              <a:solidFill>
                <a:srgbClr val="166534"/>
              </a:solidFill>
              <a:prstDash val="solid"/>
            </a:ln>
          </spPr>
          <cat>
            <numRef>
              <f>'Punch List'!$N$5:$N$11</f>
            </numRef>
          </cat>
          <val>
            <numRef>
              <f>'Punch List'!$P$5:$P$11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85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R83"/>
  <sheetViews>
    <sheetView showGridLines="0" rightToLeft="0" zoomScale="100" workbookViewId="0">
      <pane xSplit="2" ySplit="23" topLeftCell="C2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2" customWidth="1" min="2" max="2"/>
    <col width="18" customWidth="1" min="3" max="3"/>
    <col width="36" customWidth="1" min="4" max="4"/>
    <col width="11" customWidth="1" min="5" max="5"/>
    <col width="20" customWidth="1" min="6" max="6"/>
    <col width="11" customWidth="1" min="7" max="7"/>
    <col width="11" customWidth="1" min="8" max="8"/>
    <col width="20" customWidth="1" min="9" max="9"/>
    <col width="11" customWidth="1" min="10" max="10"/>
    <col width="8" customWidth="1" min="11" max="11"/>
    <col width="12" customWidth="1" min="12" max="12"/>
    <col width="3" customWidth="1" min="13" max="13"/>
    <col width="22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 ht="40" customHeight="1">
      <c r="A1" s="1" t="inlineStr">
        <is>
          <t>Punch List: Tracking Defect Closure Before Handover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 ht="4" customHeight="1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 ht="20" customHeight="1">
      <c r="A3" s="4" t="inlineStr">
        <is>
          <t>Log each defect with an owner and priority; get due dates, delays and handover readiness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  <c r="Q3" s="5" t="n"/>
      <c r="R3" s="5" t="n"/>
    </row>
    <row r="4" ht="30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N4" s="6" t="inlineStr">
        <is>
          <t>Discipline</t>
        </is>
      </c>
      <c r="P4" s="6" t="inlineStr">
        <is>
          <t>Open</t>
        </is>
      </c>
    </row>
    <row r="5" ht="18" customHeight="1">
      <c r="A5" s="7" t="inlineStr">
        <is>
          <t>Settings</t>
        </is>
      </c>
      <c r="B5" s="8" t="n"/>
      <c r="C5" s="8" t="n"/>
      <c r="D5" s="5" t="n"/>
      <c r="E5" s="9" t="inlineStr">
        <is>
          <t>Total items</t>
        </is>
      </c>
      <c r="F5" s="10" t="n"/>
      <c r="G5" s="11" t="inlineStr">
        <is>
          <t>Closed %</t>
        </is>
      </c>
      <c r="H5" s="12" t="n"/>
      <c r="I5" s="9" t="inlineStr">
        <is>
          <t>Open</t>
        </is>
      </c>
      <c r="J5" s="10" t="n"/>
      <c r="K5" s="11" t="inlineStr">
        <is>
          <t>Overdue</t>
        </is>
      </c>
      <c r="L5" s="12" t="n"/>
      <c r="N5" s="13" t="inlineStr">
        <is>
          <t>Architectural</t>
        </is>
      </c>
      <c r="P5" s="14">
        <f>COUNTIFS($C$24:$C$83,N5,$I$24:$I$83,"&lt;&gt;"&amp;INDEX($N$19:$N$22,4))</f>
        <v/>
      </c>
    </row>
    <row r="6" ht="34" customHeight="1">
      <c r="A6" s="15" t="inlineStr">
        <is>
          <t>Report date</t>
        </is>
      </c>
      <c r="C6" s="16" t="n">
        <v>46318</v>
      </c>
      <c r="D6" s="5" t="n"/>
      <c r="E6" s="17">
        <f>COUNTA($D$24:$D$83)</f>
        <v/>
      </c>
      <c r="F6" s="18" t="n"/>
      <c r="G6" s="19">
        <f>IFERROR(COUNTIF($I$24:$I$83,INDEX($N$19:$N$22,4))/COUNTA($D$24:$D$83),0)</f>
        <v/>
      </c>
      <c r="H6" s="20" t="n"/>
      <c r="I6" s="17">
        <f>COUNTA($D$24:$D$83)-COUNTIF($I$24:$I$83,INDEX($N$19:$N$22,4))</f>
        <v/>
      </c>
      <c r="J6" s="18" t="n"/>
      <c r="K6" s="21">
        <f>COUNTIF($L$24:$L$83,"Overdue")</f>
        <v/>
      </c>
      <c r="L6" s="20" t="n"/>
      <c r="N6" s="13" t="inlineStr">
        <is>
          <t>Structural</t>
        </is>
      </c>
      <c r="P6" s="14">
        <f>COUNTIFS($C$24:$C$83,N6,$I$24:$I$83,"&lt;&gt;"&amp;INDEX($N$19:$N$22,4))</f>
        <v/>
      </c>
    </row>
    <row r="7">
      <c r="A7" s="15" t="inlineStr">
        <is>
          <t>Max open items for handover</t>
        </is>
      </c>
      <c r="C7" s="22" t="n">
        <v>5</v>
      </c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N7" s="13" t="inlineStr">
        <is>
          <t>Electrical</t>
        </is>
      </c>
      <c r="P7" s="14">
        <f>COUNTIFS($C$24:$C$83,N7,$I$24:$I$83,"&lt;&gt;"&amp;INDEX($N$19:$N$22,4))</f>
        <v/>
      </c>
    </row>
    <row r="8" ht="26" customHeight="1">
      <c r="A8" s="5" t="n"/>
      <c r="B8" s="5" t="n"/>
      <c r="C8" s="5" t="n"/>
      <c r="D8" s="5" t="n"/>
      <c r="E8" s="23">
        <f>IF(AND(COUNTIFS($E$24:$E$83,INDEX($N$14:$N$16,1),$I$24:$I$83,"&lt;&gt;"&amp;INDEX($N$19:$N$22,4))=0,(COUNTA($D$24:$D$83)-COUNTIF($I$24:$I$83,INDEX($N$19:$N$22,4)))&lt;=$C$7),"✔ Ready for handover","✖ Not ready: open high priority "&amp;COUNTIFS($E$24:$E$83,INDEX($N$14:$N$16,1),$I$24:$I$83,"&lt;&gt;"&amp;INDEX($N$19:$N$22,4))&amp;" · open "&amp;(COUNTA($D$24:$D$83)-COUNTIF($I$24:$I$83,INDEX($N$19:$N$22,4))))</f>
        <v/>
      </c>
      <c r="N8" s="13" t="inlineStr">
        <is>
          <t>HVAC</t>
        </is>
      </c>
      <c r="P8" s="14">
        <f>COUNTIFS($C$24:$C$83,N8,$I$24:$I$83,"&lt;&gt;"&amp;INDEX($N$19:$N$22,4))</f>
        <v/>
      </c>
    </row>
    <row r="9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N9" s="13" t="inlineStr">
        <is>
          <t>Plumbing</t>
        </is>
      </c>
      <c r="P9" s="14">
        <f>COUNTIFS($C$24:$C$83,N9,$I$24:$I$83,"&lt;&gt;"&amp;INDEX($N$19:$N$22,4))</f>
        <v/>
      </c>
    </row>
    <row r="10">
      <c r="A10" s="5" t="n"/>
      <c r="B10" s="5" t="n"/>
      <c r="C10" s="5" t="n"/>
      <c r="D10" s="5" t="n"/>
      <c r="E10" s="24" t="inlineStr">
        <is>
          <t>By responsible</t>
        </is>
      </c>
      <c r="I10" s="24" t="inlineStr">
        <is>
          <t>Total</t>
        </is>
      </c>
      <c r="J10" s="24" t="inlineStr">
        <is>
          <t>Open</t>
        </is>
      </c>
      <c r="K10" s="24" t="inlineStr">
        <is>
          <t>Late</t>
        </is>
      </c>
      <c r="L10" s="24" t="inlineStr">
        <is>
          <t>Closed %</t>
        </is>
      </c>
      <c r="N10" s="13" t="inlineStr">
        <is>
          <t>Finishes and paint</t>
        </is>
      </c>
      <c r="P10" s="14">
        <f>COUNTIFS($C$24:$C$83,N10,$I$24:$I$83,"&lt;&gt;"&amp;INDEX($N$19:$N$22,4))</f>
        <v/>
      </c>
    </row>
    <row r="11">
      <c r="A11" s="5" t="n"/>
      <c r="B11" s="5" t="n"/>
      <c r="C11" s="5" t="n"/>
      <c r="D11" s="5" t="n"/>
      <c r="E11" s="25">
        <f>INDEX($N$25:$N$29,1)</f>
        <v/>
      </c>
      <c r="I11" s="26">
        <f>COUNTIF($F$24:$F$83,E11)</f>
        <v/>
      </c>
      <c r="J11" s="26">
        <f>I11-COUNTIFS($F$24:$F$83,E11,$I$24:$I$83,INDEX($N$19:$N$22,4))</f>
        <v/>
      </c>
      <c r="K11" s="26">
        <f>COUNTIFS($F$24:$F$83,E11,$L$24:$L$83,"Overdue")</f>
        <v/>
      </c>
      <c r="L11" s="27">
        <f>IFERROR(1-J11/I11,0)</f>
        <v/>
      </c>
      <c r="N11" s="13" t="inlineStr">
        <is>
          <t>External works</t>
        </is>
      </c>
      <c r="P11" s="14">
        <f>COUNTIFS($C$24:$C$83,N11,$I$24:$I$83,"&lt;&gt;"&amp;INDEX($N$19:$N$22,4))</f>
        <v/>
      </c>
    </row>
    <row r="12">
      <c r="A12" s="5" t="n"/>
      <c r="B12" s="5" t="n"/>
      <c r="C12" s="5" t="n"/>
      <c r="D12" s="5" t="n"/>
      <c r="E12" s="25">
        <f>INDEX($N$25:$N$29,2)</f>
        <v/>
      </c>
      <c r="I12" s="26">
        <f>COUNTIF($F$24:$F$83,E12)</f>
        <v/>
      </c>
      <c r="J12" s="26">
        <f>I12-COUNTIFS($F$24:$F$83,E12,$I$24:$I$83,INDEX($N$19:$N$22,4))</f>
        <v/>
      </c>
      <c r="K12" s="26">
        <f>COUNTIFS($F$24:$F$83,E12,$L$24:$L$83,"Overdue")</f>
        <v/>
      </c>
      <c r="L12" s="27">
        <f>IFERROR(1-J12/I12,0)</f>
        <v/>
      </c>
    </row>
    <row r="13" ht="30" customHeight="1">
      <c r="A13" s="5" t="n"/>
      <c r="B13" s="5" t="n"/>
      <c r="C13" s="5" t="n"/>
      <c r="D13" s="5" t="n"/>
      <c r="E13" s="25">
        <f>INDEX($N$25:$N$29,3)</f>
        <v/>
      </c>
      <c r="I13" s="26">
        <f>COUNTIF($F$24:$F$83,E13)</f>
        <v/>
      </c>
      <c r="J13" s="26">
        <f>I13-COUNTIFS($F$24:$F$83,E13,$I$24:$I$83,INDEX($N$19:$N$22,4))</f>
        <v/>
      </c>
      <c r="K13" s="26">
        <f>COUNTIFS($F$24:$F$83,E13,$L$24:$L$83,"Overdue")</f>
        <v/>
      </c>
      <c r="L13" s="27">
        <f>IFERROR(1-J13/I13,0)</f>
        <v/>
      </c>
      <c r="N13" s="6" t="inlineStr">
        <is>
          <t>Priority</t>
        </is>
      </c>
      <c r="O13" s="6" t="inlineStr">
        <is>
          <t>SLA days</t>
        </is>
      </c>
    </row>
    <row r="14">
      <c r="A14" s="5" t="n"/>
      <c r="B14" s="5" t="n"/>
      <c r="C14" s="5" t="n"/>
      <c r="D14" s="5" t="n"/>
      <c r="E14" s="25">
        <f>INDEX($N$25:$N$29,4)</f>
        <v/>
      </c>
      <c r="I14" s="26">
        <f>COUNTIF($F$24:$F$83,E14)</f>
        <v/>
      </c>
      <c r="J14" s="26">
        <f>I14-COUNTIFS($F$24:$F$83,E14,$I$24:$I$83,INDEX($N$19:$N$22,4))</f>
        <v/>
      </c>
      <c r="K14" s="26">
        <f>COUNTIFS($F$24:$F$83,E14,$L$24:$L$83,"Overdue")</f>
        <v/>
      </c>
      <c r="L14" s="27">
        <f>IFERROR(1-J14/I14,0)</f>
        <v/>
      </c>
      <c r="N14" s="13" t="inlineStr">
        <is>
          <t>High</t>
        </is>
      </c>
      <c r="O14" s="22" t="n">
        <v>3</v>
      </c>
    </row>
    <row r="15">
      <c r="A15" s="5" t="n"/>
      <c r="B15" s="5" t="n"/>
      <c r="C15" s="5" t="n"/>
      <c r="D15" s="5" t="n"/>
      <c r="E15" s="25">
        <f>INDEX($N$25:$N$29,5)</f>
        <v/>
      </c>
      <c r="I15" s="26">
        <f>COUNTIF($F$24:$F$83,E15)</f>
        <v/>
      </c>
      <c r="J15" s="26">
        <f>I15-COUNTIFS($F$24:$F$83,E15,$I$24:$I$83,INDEX($N$19:$N$22,4))</f>
        <v/>
      </c>
      <c r="K15" s="26">
        <f>COUNTIFS($F$24:$F$83,E15,$L$24:$L$83,"Overdue")</f>
        <v/>
      </c>
      <c r="L15" s="27">
        <f>IFERROR(1-J15/I15,0)</f>
        <v/>
      </c>
      <c r="N15" s="13" t="inlineStr">
        <is>
          <t>Medium</t>
        </is>
      </c>
      <c r="O15" s="22" t="n">
        <v>7</v>
      </c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N16" s="13" t="inlineStr">
        <is>
          <t>Low</t>
        </is>
      </c>
      <c r="O16" s="22" t="n">
        <v>14</v>
      </c>
    </row>
    <row r="17">
      <c r="A17" s="5" t="n"/>
      <c r="B17" s="5" t="n"/>
      <c r="C17" s="5" t="n"/>
      <c r="D17" s="5" t="n"/>
      <c r="E17" s="24" t="inlineStr">
        <is>
          <t>Oldest open item (days)</t>
        </is>
      </c>
      <c r="F17" s="28" t="n"/>
      <c r="G17" s="28" t="n"/>
      <c r="H17" s="28" t="n"/>
      <c r="I17" s="28" t="n"/>
      <c r="J17" s="28" t="n"/>
      <c r="K17" s="28" t="n"/>
      <c r="L17" s="29" t="n"/>
    </row>
    <row r="18" ht="30" customHeight="1">
      <c r="A18" s="5" t="n"/>
      <c r="B18" s="5" t="n"/>
      <c r="C18" s="5" t="n"/>
      <c r="D18" s="5" t="n"/>
      <c r="E18" s="25" t="inlineStr">
        <is>
          <t>Max age</t>
        </is>
      </c>
      <c r="I18" s="26">
        <f>IFERROR(_xlfn.MAXIFS($K$24:$K$83,$I$24:$I$83,"&lt;&gt;"&amp;INDEX($N$19:$N$22,4),$D$24:$D$83,"&lt;&gt;"),0)</f>
        <v/>
      </c>
      <c r="N18" s="6" t="inlineStr">
        <is>
          <t>Status</t>
        </is>
      </c>
    </row>
    <row r="19">
      <c r="A19" s="5" t="n"/>
      <c r="B19" s="5" t="n"/>
      <c r="C19" s="5" t="n"/>
      <c r="D19" s="5" t="n"/>
      <c r="E19" s="25" t="inlineStr">
        <is>
          <t>Avg age of open items</t>
        </is>
      </c>
      <c r="I19" s="30">
        <f>IFERROR(SUMIFS($K$24:$K$83,$I$24:$I$83,"&lt;&gt;"&amp;INDEX($N$19:$N$22,4),$D$24:$D$83,"&lt;&gt;")/(COUNTA($D$24:$D$83)-COUNTIF($I$24:$I$83,INDEX($N$19:$N$22,4))),0)</f>
        <v/>
      </c>
      <c r="N19" s="13" t="inlineStr">
        <is>
          <t>Open</t>
        </is>
      </c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N20" s="13" t="inlineStr">
        <is>
          <t>In progress</t>
        </is>
      </c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N21" s="13" t="inlineStr">
        <is>
          <t>Fixed, awaiting check</t>
        </is>
      </c>
    </row>
    <row r="22" ht="22" customHeight="1">
      <c r="A22" s="7" t="inlineStr">
        <is>
          <t>List</t>
        </is>
      </c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N22" s="13" t="inlineStr">
        <is>
          <t>Closed</t>
        </is>
      </c>
    </row>
    <row r="23" ht="40" customHeight="1">
      <c r="A23" s="6" t="inlineStr">
        <is>
          <t>#</t>
        </is>
      </c>
      <c r="B23" s="6" t="inlineStr">
        <is>
          <t>Location</t>
        </is>
      </c>
      <c r="C23" s="6" t="inlineStr">
        <is>
          <t>Discipline</t>
        </is>
      </c>
      <c r="D23" s="6" t="inlineStr">
        <is>
          <t>Description</t>
        </is>
      </c>
      <c r="E23" s="6" t="inlineStr">
        <is>
          <t>Priority</t>
        </is>
      </c>
      <c r="F23" s="6" t="inlineStr">
        <is>
          <t>Responsible</t>
        </is>
      </c>
      <c r="G23" s="6" t="inlineStr">
        <is>
          <t>Raised</t>
        </is>
      </c>
      <c r="H23" s="6" t="inlineStr">
        <is>
          <t>Due</t>
        </is>
      </c>
      <c r="I23" s="6" t="inlineStr">
        <is>
          <t>Status</t>
        </is>
      </c>
      <c r="J23" s="6" t="inlineStr">
        <is>
          <t>Closed</t>
        </is>
      </c>
      <c r="K23" s="6" t="inlineStr">
        <is>
          <t>Age (d)</t>
        </is>
      </c>
      <c r="L23" s="6" t="inlineStr">
        <is>
          <t>Flag</t>
        </is>
      </c>
    </row>
    <row r="24" ht="30" customHeight="1">
      <c r="A24" s="22" t="n">
        <v>1</v>
      </c>
      <c r="B24" s="31" t="inlineStr">
        <is>
          <t>Villa 1 - Living</t>
        </is>
      </c>
      <c r="C24" s="13" t="inlineStr">
        <is>
          <t>Finishes and paint</t>
        </is>
      </c>
      <c r="D24" s="31" t="inlineStr">
        <is>
          <t>Cracked paint on north wall</t>
        </is>
      </c>
      <c r="E24" s="13" t="inlineStr">
        <is>
          <t>High</t>
        </is>
      </c>
      <c r="F24" s="13" t="inlineStr">
        <is>
          <t>Modern Paints</t>
        </is>
      </c>
      <c r="G24" s="16" t="n">
        <v>46300</v>
      </c>
      <c r="H24" s="32">
        <f>IF(AND(ISNUMBER(G24),E24&lt;&gt;""),G24+IFERROR(INDEX($O$14:$O$16,MATCH(E24,$N$14:$N$16,0)),7),"")</f>
        <v/>
      </c>
      <c r="I24" s="13" t="inlineStr">
        <is>
          <t>Closed</t>
        </is>
      </c>
      <c r="J24" s="16" t="n">
        <v>46308</v>
      </c>
      <c r="K24" s="26">
        <f>IF(NOT(ISNUMBER(G24)),"",IF(ISNUMBER(J24),J24,$C$6)-G24)</f>
        <v/>
      </c>
      <c r="L24" s="33">
        <f>IF(I24="","",IF(I24=INDEX($N$19:$N$22,4),"✓",IF(AND(ISNUMBER(H24),H24&lt;$C$6),"Overdue","")))</f>
        <v/>
      </c>
      <c r="N24" s="6" t="inlineStr">
        <is>
          <t>Responsible</t>
        </is>
      </c>
    </row>
    <row r="25">
      <c r="A25" s="22" t="n">
        <v>2</v>
      </c>
      <c r="B25" s="31" t="inlineStr">
        <is>
          <t>Villa 1 - Kitchen</t>
        </is>
      </c>
      <c r="C25" s="13" t="inlineStr">
        <is>
          <t>Plumbing</t>
        </is>
      </c>
      <c r="D25" s="31" t="inlineStr">
        <is>
          <t>Floor drain slope insufficient</t>
        </is>
      </c>
      <c r="E25" s="13" t="inlineStr">
        <is>
          <t>Medium</t>
        </is>
      </c>
      <c r="F25" s="13" t="inlineStr">
        <is>
          <t>National Plumbing</t>
        </is>
      </c>
      <c r="G25" s="16" t="n">
        <v>46303</v>
      </c>
      <c r="H25" s="32">
        <f>IF(AND(ISNUMBER(G25),E25&lt;&gt;""),G25+IFERROR(INDEX($O$14:$O$16,MATCH(E25,$N$14:$N$16,0)),7),"")</f>
        <v/>
      </c>
      <c r="I25" s="13" t="inlineStr">
        <is>
          <t>In progress</t>
        </is>
      </c>
      <c r="J25" s="16" t="n"/>
      <c r="K25" s="26">
        <f>IF(NOT(ISNUMBER(G25)),"",IF(ISNUMBER(J25),J25,$C$6)-G25)</f>
        <v/>
      </c>
      <c r="L25" s="33">
        <f>IF(I25="","",IF(I25=INDEX($N$19:$N$22,4),"✓",IF(AND(ISNUMBER(H25),H25&lt;$C$6),"Overdue","")))</f>
        <v/>
      </c>
      <c r="N25" s="13" t="inlineStr">
        <is>
          <t>Modern Paints</t>
        </is>
      </c>
    </row>
    <row r="26">
      <c r="A26" s="22" t="n">
        <v>3</v>
      </c>
      <c r="B26" s="31" t="inlineStr">
        <is>
          <t>Villa 1 - Bedroom</t>
        </is>
      </c>
      <c r="C26" s="13" t="inlineStr">
        <is>
          <t>Electrical</t>
        </is>
      </c>
      <c r="D26" s="31" t="inlineStr">
        <is>
          <t>Light switch not working</t>
        </is>
      </c>
      <c r="E26" s="13" t="inlineStr">
        <is>
          <t>Low</t>
        </is>
      </c>
      <c r="F26" s="13" t="inlineStr">
        <is>
          <t>United Electric</t>
        </is>
      </c>
      <c r="G26" s="16" t="n">
        <v>46306</v>
      </c>
      <c r="H26" s="32">
        <f>IF(AND(ISNUMBER(G26),E26&lt;&gt;""),G26+IFERROR(INDEX($O$14:$O$16,MATCH(E26,$N$14:$N$16,0)),7),"")</f>
        <v/>
      </c>
      <c r="I26" s="13" t="inlineStr">
        <is>
          <t>Closed</t>
        </is>
      </c>
      <c r="J26" s="16" t="n">
        <v>46309</v>
      </c>
      <c r="K26" s="26">
        <f>IF(NOT(ISNUMBER(G26)),"",IF(ISNUMBER(J26),J26,$C$6)-G26)</f>
        <v/>
      </c>
      <c r="L26" s="33">
        <f>IF(I26="","",IF(I26=INDEX($N$19:$N$22,4),"✓",IF(AND(ISNUMBER(H26),H26&lt;$C$6),"Overdue","")))</f>
        <v/>
      </c>
      <c r="N26" s="13" t="inlineStr">
        <is>
          <t>United Electric</t>
        </is>
      </c>
    </row>
    <row r="27">
      <c r="A27" s="22" t="n">
        <v>4</v>
      </c>
      <c r="B27" s="31" t="inlineStr">
        <is>
          <t>Villa 1 - Bathroom</t>
        </is>
      </c>
      <c r="C27" s="13" t="inlineStr">
        <is>
          <t>Plumbing</t>
        </is>
      </c>
      <c r="D27" s="31" t="inlineStr">
        <is>
          <t>Leak from shower mixer</t>
        </is>
      </c>
      <c r="E27" s="13" t="inlineStr">
        <is>
          <t>High</t>
        </is>
      </c>
      <c r="F27" s="13" t="inlineStr">
        <is>
          <t>National Plumbing</t>
        </is>
      </c>
      <c r="G27" s="16" t="n">
        <v>46308</v>
      </c>
      <c r="H27" s="32">
        <f>IF(AND(ISNUMBER(G27),E27&lt;&gt;""),G27+IFERROR(INDEX($O$14:$O$16,MATCH(E27,$N$14:$N$16,0)),7),"")</f>
        <v/>
      </c>
      <c r="I27" s="13" t="inlineStr">
        <is>
          <t>Open</t>
        </is>
      </c>
      <c r="J27" s="16" t="n"/>
      <c r="K27" s="26">
        <f>IF(NOT(ISNUMBER(G27)),"",IF(ISNUMBER(J27),J27,$C$6)-G27)</f>
        <v/>
      </c>
      <c r="L27" s="33">
        <f>IF(I27="","",IF(I27=INDEX($N$19:$N$22,4),"✓",IF(AND(ISNUMBER(H27),H27&lt;$C$6),"Overdue","")))</f>
        <v/>
      </c>
      <c r="N27" s="13" t="inlineStr">
        <is>
          <t>First Builders</t>
        </is>
      </c>
    </row>
    <row r="28">
      <c r="A28" s="22" t="n">
        <v>5</v>
      </c>
      <c r="B28" s="31" t="inlineStr">
        <is>
          <t>Villa 2 - Facade</t>
        </is>
      </c>
      <c r="C28" s="13" t="inlineStr">
        <is>
          <t>Finishes and paint</t>
        </is>
      </c>
      <c r="D28" s="31" t="inlineStr">
        <is>
          <t>External paint colour mismatch</t>
        </is>
      </c>
      <c r="E28" s="13" t="inlineStr">
        <is>
          <t>Medium</t>
        </is>
      </c>
      <c r="F28" s="13" t="inlineStr">
        <is>
          <t>Modern Paints</t>
        </is>
      </c>
      <c r="G28" s="16" t="n">
        <v>46309</v>
      </c>
      <c r="H28" s="32">
        <f>IF(AND(ISNUMBER(G28),E28&lt;&gt;""),G28+IFERROR(INDEX($O$14:$O$16,MATCH(E28,$N$14:$N$16,0)),7),"")</f>
        <v/>
      </c>
      <c r="I28" s="13" t="inlineStr">
        <is>
          <t>Fixed, awaiting check</t>
        </is>
      </c>
      <c r="J28" s="16" t="n"/>
      <c r="K28" s="26">
        <f>IF(NOT(ISNUMBER(G28)),"",IF(ISNUMBER(J28),J28,$C$6)-G28)</f>
        <v/>
      </c>
      <c r="L28" s="33">
        <f>IF(I28="","",IF(I28=INDEX($N$19:$N$22,4),"✓",IF(AND(ISNUMBER(H28),H28&lt;$C$6),"Overdue","")))</f>
        <v/>
      </c>
      <c r="N28" s="13" t="inlineStr">
        <is>
          <t>Gulf HVAC</t>
        </is>
      </c>
    </row>
    <row r="29">
      <c r="A29" s="22" t="n">
        <v>6</v>
      </c>
      <c r="B29" s="31" t="inlineStr">
        <is>
          <t>Villa 2 - Corridor</t>
        </is>
      </c>
      <c r="C29" s="13" t="inlineStr">
        <is>
          <t>HVAC</t>
        </is>
      </c>
      <c r="D29" s="31" t="inlineStr">
        <is>
          <t>AC grille loosely fixed</t>
        </is>
      </c>
      <c r="E29" s="13" t="inlineStr">
        <is>
          <t>Low</t>
        </is>
      </c>
      <c r="F29" s="13" t="inlineStr">
        <is>
          <t>Gulf HVAC</t>
        </is>
      </c>
      <c r="G29" s="16" t="n">
        <v>46310</v>
      </c>
      <c r="H29" s="32">
        <f>IF(AND(ISNUMBER(G29),E29&lt;&gt;""),G29+IFERROR(INDEX($O$14:$O$16,MATCH(E29,$N$14:$N$16,0)),7),"")</f>
        <v/>
      </c>
      <c r="I29" s="13" t="inlineStr">
        <is>
          <t>Closed</t>
        </is>
      </c>
      <c r="J29" s="16" t="n">
        <v>46313</v>
      </c>
      <c r="K29" s="26">
        <f>IF(NOT(ISNUMBER(G29)),"",IF(ISNUMBER(J29),J29,$C$6)-G29)</f>
        <v/>
      </c>
      <c r="L29" s="33">
        <f>IF(I29="","",IF(I29=INDEX($N$19:$N$22,4),"✓",IF(AND(ISNUMBER(H29),H29&lt;$C$6),"Overdue","")))</f>
        <v/>
      </c>
      <c r="N29" s="13" t="inlineStr">
        <is>
          <t>National Plumbing</t>
        </is>
      </c>
    </row>
    <row r="30">
      <c r="A30" s="22" t="n">
        <v>7</v>
      </c>
      <c r="B30" s="31" t="inlineStr">
        <is>
          <t>Villa 2 - Majlis</t>
        </is>
      </c>
      <c r="C30" s="13" t="inlineStr">
        <is>
          <t>Architectural</t>
        </is>
      </c>
      <c r="D30" s="31" t="inlineStr">
        <is>
          <t>Cracked tile at door</t>
        </is>
      </c>
      <c r="E30" s="13" t="inlineStr">
        <is>
          <t>Medium</t>
        </is>
      </c>
      <c r="F30" s="13" t="inlineStr">
        <is>
          <t>First Builders</t>
        </is>
      </c>
      <c r="G30" s="16" t="n">
        <v>46311</v>
      </c>
      <c r="H30" s="32">
        <f>IF(AND(ISNUMBER(G30),E30&lt;&gt;""),G30+IFERROR(INDEX($O$14:$O$16,MATCH(E30,$N$14:$N$16,0)),7),"")</f>
        <v/>
      </c>
      <c r="I30" s="13" t="inlineStr">
        <is>
          <t>Fixed, awaiting check</t>
        </is>
      </c>
      <c r="J30" s="16" t="n"/>
      <c r="K30" s="26">
        <f>IF(NOT(ISNUMBER(G30)),"",IF(ISNUMBER(J30),J30,$C$6)-G30)</f>
        <v/>
      </c>
      <c r="L30" s="33">
        <f>IF(I30="","",IF(I30=INDEX($N$19:$N$22,4),"✓",IF(AND(ISNUMBER(H30),H30&lt;$C$6),"Overdue","")))</f>
        <v/>
      </c>
    </row>
    <row r="31">
      <c r="A31" s="22" t="n">
        <v>8</v>
      </c>
      <c r="B31" s="31" t="inlineStr">
        <is>
          <t>Villa 2 - Roof</t>
        </is>
      </c>
      <c r="C31" s="13" t="inlineStr">
        <is>
          <t>Structural</t>
        </is>
      </c>
      <c r="D31" s="31" t="inlineStr">
        <is>
          <t>Water ponding on roof</t>
        </is>
      </c>
      <c r="E31" s="13" t="inlineStr">
        <is>
          <t>High</t>
        </is>
      </c>
      <c r="F31" s="13" t="inlineStr">
        <is>
          <t>First Builders</t>
        </is>
      </c>
      <c r="G31" s="16" t="n">
        <v>46312</v>
      </c>
      <c r="H31" s="32">
        <f>IF(AND(ISNUMBER(G31),E31&lt;&gt;""),G31+IFERROR(INDEX($O$14:$O$16,MATCH(E31,$N$14:$N$16,0)),7),"")</f>
        <v/>
      </c>
      <c r="I31" s="13" t="inlineStr">
        <is>
          <t>In progress</t>
        </is>
      </c>
      <c r="J31" s="16" t="n"/>
      <c r="K31" s="26">
        <f>IF(NOT(ISNUMBER(G31)),"",IF(ISNUMBER(J31),J31,$C$6)-G31)</f>
        <v/>
      </c>
      <c r="L31" s="33">
        <f>IF(I31="","",IF(I31=INDEX($N$19:$N$22,4),"✓",IF(AND(ISNUMBER(H31),H31&lt;$C$6),"Overdue","")))</f>
        <v/>
      </c>
    </row>
    <row r="32">
      <c r="A32" s="22" t="n">
        <v>9</v>
      </c>
      <c r="B32" s="31" t="inlineStr">
        <is>
          <t>Villa 3 - Garden</t>
        </is>
      </c>
      <c r="C32" s="13" t="inlineStr">
        <is>
          <t>External works</t>
        </is>
      </c>
      <c r="D32" s="31" t="inlineStr">
        <is>
          <t>Uneven path paving</t>
        </is>
      </c>
      <c r="E32" s="13" t="inlineStr">
        <is>
          <t>Low</t>
        </is>
      </c>
      <c r="F32" s="13" t="inlineStr">
        <is>
          <t>First Builders</t>
        </is>
      </c>
      <c r="G32" s="16" t="n">
        <v>46313</v>
      </c>
      <c r="H32" s="32">
        <f>IF(AND(ISNUMBER(G32),E32&lt;&gt;""),G32+IFERROR(INDEX($O$14:$O$16,MATCH(E32,$N$14:$N$16,0)),7),"")</f>
        <v/>
      </c>
      <c r="I32" s="13" t="inlineStr">
        <is>
          <t>Open</t>
        </is>
      </c>
      <c r="J32" s="16" t="n"/>
      <c r="K32" s="26">
        <f>IF(NOT(ISNUMBER(G32)),"",IF(ISNUMBER(J32),J32,$C$6)-G32)</f>
        <v/>
      </c>
      <c r="L32" s="33">
        <f>IF(I32="","",IF(I32=INDEX($N$19:$N$22,4),"✓",IF(AND(ISNUMBER(H32),H32&lt;$C$6),"Overdue","")))</f>
        <v/>
      </c>
    </row>
    <row r="33">
      <c r="A33" s="22" t="n">
        <v>10</v>
      </c>
      <c r="B33" s="31" t="inlineStr">
        <is>
          <t>Villa 3 - Living</t>
        </is>
      </c>
      <c r="C33" s="13" t="inlineStr">
        <is>
          <t>Electrical</t>
        </is>
      </c>
      <c r="D33" s="31" t="inlineStr">
        <is>
          <t>Socket without cover plate</t>
        </is>
      </c>
      <c r="E33" s="13" t="inlineStr">
        <is>
          <t>Low</t>
        </is>
      </c>
      <c r="F33" s="13" t="inlineStr">
        <is>
          <t>United Electric</t>
        </is>
      </c>
      <c r="G33" s="16" t="n">
        <v>46314</v>
      </c>
      <c r="H33" s="32">
        <f>IF(AND(ISNUMBER(G33),E33&lt;&gt;""),G33+IFERROR(INDEX($O$14:$O$16,MATCH(E33,$N$14:$N$16,0)),7),"")</f>
        <v/>
      </c>
      <c r="I33" s="13" t="inlineStr">
        <is>
          <t>Closed</t>
        </is>
      </c>
      <c r="J33" s="16" t="n">
        <v>46317</v>
      </c>
      <c r="K33" s="26">
        <f>IF(NOT(ISNUMBER(G33)),"",IF(ISNUMBER(J33),J33,$C$6)-G33)</f>
        <v/>
      </c>
      <c r="L33" s="33">
        <f>IF(I33="","",IF(I33=INDEX($N$19:$N$22,4),"✓",IF(AND(ISNUMBER(H33),H33&lt;$C$6),"Overdue","")))</f>
        <v/>
      </c>
    </row>
    <row r="34">
      <c r="A34" s="22" t="n">
        <v>11</v>
      </c>
      <c r="B34" s="31" t="inlineStr">
        <is>
          <t>Villa 3 - Kitchen</t>
        </is>
      </c>
      <c r="C34" s="13" t="inlineStr">
        <is>
          <t>HVAC</t>
        </is>
      </c>
      <c r="D34" s="31" t="inlineStr">
        <is>
          <t>Noisy extractor fan</t>
        </is>
      </c>
      <c r="E34" s="13" t="inlineStr">
        <is>
          <t>Medium</t>
        </is>
      </c>
      <c r="F34" s="13" t="inlineStr">
        <is>
          <t>Gulf HVAC</t>
        </is>
      </c>
      <c r="G34" s="16" t="n">
        <v>46315</v>
      </c>
      <c r="H34" s="32">
        <f>IF(AND(ISNUMBER(G34),E34&lt;&gt;""),G34+IFERROR(INDEX($O$14:$O$16,MATCH(E34,$N$14:$N$16,0)),7),"")</f>
        <v/>
      </c>
      <c r="I34" s="13" t="inlineStr">
        <is>
          <t>In progress</t>
        </is>
      </c>
      <c r="J34" s="16" t="n"/>
      <c r="K34" s="26">
        <f>IF(NOT(ISNUMBER(G34)),"",IF(ISNUMBER(J34),J34,$C$6)-G34)</f>
        <v/>
      </c>
      <c r="L34" s="33">
        <f>IF(I34="","",IF(I34=INDEX($N$19:$N$22,4),"✓",IF(AND(ISNUMBER(H34),H34&lt;$C$6),"Overdue","")))</f>
        <v/>
      </c>
    </row>
    <row r="35">
      <c r="A35" s="22" t="n">
        <v>12</v>
      </c>
      <c r="B35" s="31" t="inlineStr">
        <is>
          <t>Villa 3 - Bathroom</t>
        </is>
      </c>
      <c r="C35" s="13" t="inlineStr">
        <is>
          <t>Finishes and paint</t>
        </is>
      </c>
      <c r="D35" s="31" t="inlineStr">
        <is>
          <t>Tile joints without silicone</t>
        </is>
      </c>
      <c r="E35" s="13" t="inlineStr">
        <is>
          <t>Low</t>
        </is>
      </c>
      <c r="F35" s="13" t="inlineStr">
        <is>
          <t>First Builders</t>
        </is>
      </c>
      <c r="G35" s="16" t="n">
        <v>46316</v>
      </c>
      <c r="H35" s="32">
        <f>IF(AND(ISNUMBER(G35),E35&lt;&gt;""),G35+IFERROR(INDEX($O$14:$O$16,MATCH(E35,$N$14:$N$16,0)),7),"")</f>
        <v/>
      </c>
      <c r="I35" s="13" t="inlineStr">
        <is>
          <t>Open</t>
        </is>
      </c>
      <c r="J35" s="16" t="n"/>
      <c r="K35" s="26">
        <f>IF(NOT(ISNUMBER(G35)),"",IF(ISNUMBER(J35),J35,$C$6)-G35)</f>
        <v/>
      </c>
      <c r="L35" s="33">
        <f>IF(I35="","",IF(I35=INDEX($N$19:$N$22,4),"✓",IF(AND(ISNUMBER(H35),H35&lt;$C$6),"Overdue","")))</f>
        <v/>
      </c>
    </row>
    <row r="36">
      <c r="A36" s="22" t="n">
        <v>13</v>
      </c>
      <c r="B36" s="31" t="inlineStr">
        <is>
          <t>Villa 1 - Stairs</t>
        </is>
      </c>
      <c r="C36" s="13" t="inlineStr">
        <is>
          <t>Architectural</t>
        </is>
      </c>
      <c r="D36" s="31" t="inlineStr">
        <is>
          <t>Loose handrail</t>
        </is>
      </c>
      <c r="E36" s="13" t="inlineStr">
        <is>
          <t>High</t>
        </is>
      </c>
      <c r="F36" s="13" t="inlineStr">
        <is>
          <t>First Builders</t>
        </is>
      </c>
      <c r="G36" s="16" t="n">
        <v>46296</v>
      </c>
      <c r="H36" s="32">
        <f>IF(AND(ISNUMBER(G36),E36&lt;&gt;""),G36+IFERROR(INDEX($O$14:$O$16,MATCH(E36,$N$14:$N$16,0)),7),"")</f>
        <v/>
      </c>
      <c r="I36" s="13" t="inlineStr">
        <is>
          <t>Closed</t>
        </is>
      </c>
      <c r="J36" s="16" t="n">
        <v>46306</v>
      </c>
      <c r="K36" s="26">
        <f>IF(NOT(ISNUMBER(G36)),"",IF(ISNUMBER(J36),J36,$C$6)-G36)</f>
        <v/>
      </c>
      <c r="L36" s="33">
        <f>IF(I36="","",IF(I36=INDEX($N$19:$N$22,4),"✓",IF(AND(ISNUMBER(H36),H36&lt;$C$6),"Overdue","")))</f>
        <v/>
      </c>
    </row>
    <row r="37">
      <c r="A37" s="22" t="n">
        <v>14</v>
      </c>
      <c r="B37" s="31" t="inlineStr">
        <is>
          <t>Villa 2 - Bedroom</t>
        </is>
      </c>
      <c r="C37" s="13" t="inlineStr">
        <is>
          <t>Architectural</t>
        </is>
      </c>
      <c r="D37" s="31" t="inlineStr">
        <is>
          <t>Door does not close properly</t>
        </is>
      </c>
      <c r="E37" s="13" t="inlineStr">
        <is>
          <t>Low</t>
        </is>
      </c>
      <c r="F37" s="13" t="inlineStr">
        <is>
          <t>Modern Paints</t>
        </is>
      </c>
      <c r="G37" s="16" t="n">
        <v>46307</v>
      </c>
      <c r="H37" s="32">
        <f>IF(AND(ISNUMBER(G37),E37&lt;&gt;""),G37+IFERROR(INDEX($O$14:$O$16,MATCH(E37,$N$14:$N$16,0)),7),"")</f>
        <v/>
      </c>
      <c r="I37" s="13" t="inlineStr">
        <is>
          <t>Fixed, awaiting check</t>
        </is>
      </c>
      <c r="J37" s="16" t="n"/>
      <c r="K37" s="26">
        <f>IF(NOT(ISNUMBER(G37)),"",IF(ISNUMBER(J37),J37,$C$6)-G37)</f>
        <v/>
      </c>
      <c r="L37" s="33">
        <f>IF(I37="","",IF(I37=INDEX($N$19:$N$22,4),"✓",IF(AND(ISNUMBER(H37),H37&lt;$C$6),"Overdue","")))</f>
        <v/>
      </c>
    </row>
    <row r="38">
      <c r="A38" s="22" t="n">
        <v>15</v>
      </c>
      <c r="B38" s="31" t="inlineStr">
        <is>
          <t>Villa 3 - Facade</t>
        </is>
      </c>
      <c r="C38" s="13" t="inlineStr">
        <is>
          <t>Finishes and paint</t>
        </is>
      </c>
      <c r="D38" s="31" t="inlineStr">
        <is>
          <t>Hairline cracks in plaster</t>
        </is>
      </c>
      <c r="E38" s="13" t="inlineStr">
        <is>
          <t>Medium</t>
        </is>
      </c>
      <c r="F38" s="13" t="inlineStr">
        <is>
          <t>First Builders</t>
        </is>
      </c>
      <c r="G38" s="16" t="n">
        <v>46317</v>
      </c>
      <c r="H38" s="32">
        <f>IF(AND(ISNUMBER(G38),E38&lt;&gt;""),G38+IFERROR(INDEX($O$14:$O$16,MATCH(E38,$N$14:$N$16,0)),7),"")</f>
        <v/>
      </c>
      <c r="I38" s="13" t="inlineStr">
        <is>
          <t>Open</t>
        </is>
      </c>
      <c r="J38" s="16" t="n"/>
      <c r="K38" s="26">
        <f>IF(NOT(ISNUMBER(G38)),"",IF(ISNUMBER(J38),J38,$C$6)-G38)</f>
        <v/>
      </c>
      <c r="L38" s="33">
        <f>IF(I38="","",IF(I38=INDEX($N$19:$N$22,4),"✓",IF(AND(ISNUMBER(H38),H38&lt;$C$6),"Overdue","")))</f>
        <v/>
      </c>
    </row>
    <row r="39">
      <c r="A39" s="22" t="n"/>
      <c r="B39" s="31" t="n"/>
      <c r="C39" s="13" t="n"/>
      <c r="D39" s="31" t="n"/>
      <c r="E39" s="13" t="n"/>
      <c r="F39" s="13" t="n"/>
      <c r="G39" s="16" t="n"/>
      <c r="H39" s="32">
        <f>IF(AND(ISNUMBER(G39),E39&lt;&gt;""),G39+IFERROR(INDEX($O$14:$O$16,MATCH(E39,$N$14:$N$16,0)),7),"")</f>
        <v/>
      </c>
      <c r="I39" s="13" t="n"/>
      <c r="J39" s="16" t="n"/>
      <c r="K39" s="26">
        <f>IF(NOT(ISNUMBER(G39)),"",IF(ISNUMBER(J39),J39,$C$6)-G39)</f>
        <v/>
      </c>
      <c r="L39" s="33">
        <f>IF(I39="","",IF(I39=INDEX($N$19:$N$22,4),"✓",IF(AND(ISNUMBER(H39),H39&lt;$C$6),"Overdue","")))</f>
        <v/>
      </c>
    </row>
    <row r="40">
      <c r="A40" s="22" t="n"/>
      <c r="B40" s="31" t="n"/>
      <c r="C40" s="13" t="n"/>
      <c r="D40" s="31" t="n"/>
      <c r="E40" s="13" t="n"/>
      <c r="F40" s="13" t="n"/>
      <c r="G40" s="16" t="n"/>
      <c r="H40" s="32">
        <f>IF(AND(ISNUMBER(G40),E40&lt;&gt;""),G40+IFERROR(INDEX($O$14:$O$16,MATCH(E40,$N$14:$N$16,0)),7),"")</f>
        <v/>
      </c>
      <c r="I40" s="13" t="n"/>
      <c r="J40" s="16" t="n"/>
      <c r="K40" s="26">
        <f>IF(NOT(ISNUMBER(G40)),"",IF(ISNUMBER(J40),J40,$C$6)-G40)</f>
        <v/>
      </c>
      <c r="L40" s="33">
        <f>IF(I40="","",IF(I40=INDEX($N$19:$N$22,4),"✓",IF(AND(ISNUMBER(H40),H40&lt;$C$6),"Overdue","")))</f>
        <v/>
      </c>
    </row>
    <row r="41">
      <c r="A41" s="22" t="n"/>
      <c r="B41" s="31" t="n"/>
      <c r="C41" s="13" t="n"/>
      <c r="D41" s="31" t="n"/>
      <c r="E41" s="13" t="n"/>
      <c r="F41" s="13" t="n"/>
      <c r="G41" s="16" t="n"/>
      <c r="H41" s="32">
        <f>IF(AND(ISNUMBER(G41),E41&lt;&gt;""),G41+IFERROR(INDEX($O$14:$O$16,MATCH(E41,$N$14:$N$16,0)),7),"")</f>
        <v/>
      </c>
      <c r="I41" s="13" t="n"/>
      <c r="J41" s="16" t="n"/>
      <c r="K41" s="26">
        <f>IF(NOT(ISNUMBER(G41)),"",IF(ISNUMBER(J41),J41,$C$6)-G41)</f>
        <v/>
      </c>
      <c r="L41" s="33">
        <f>IF(I41="","",IF(I41=INDEX($N$19:$N$22,4),"✓",IF(AND(ISNUMBER(H41),H41&lt;$C$6),"Overdue","")))</f>
        <v/>
      </c>
    </row>
    <row r="42">
      <c r="A42" s="22" t="n"/>
      <c r="B42" s="31" t="n"/>
      <c r="C42" s="13" t="n"/>
      <c r="D42" s="31" t="n"/>
      <c r="E42" s="13" t="n"/>
      <c r="F42" s="13" t="n"/>
      <c r="G42" s="16" t="n"/>
      <c r="H42" s="32">
        <f>IF(AND(ISNUMBER(G42),E42&lt;&gt;""),G42+IFERROR(INDEX($O$14:$O$16,MATCH(E42,$N$14:$N$16,0)),7),"")</f>
        <v/>
      </c>
      <c r="I42" s="13" t="n"/>
      <c r="J42" s="16" t="n"/>
      <c r="K42" s="26">
        <f>IF(NOT(ISNUMBER(G42)),"",IF(ISNUMBER(J42),J42,$C$6)-G42)</f>
        <v/>
      </c>
      <c r="L42" s="33">
        <f>IF(I42="","",IF(I42=INDEX($N$19:$N$22,4),"✓",IF(AND(ISNUMBER(H42),H42&lt;$C$6),"Overdue","")))</f>
        <v/>
      </c>
    </row>
    <row r="43">
      <c r="A43" s="22" t="n"/>
      <c r="B43" s="31" t="n"/>
      <c r="C43" s="13" t="n"/>
      <c r="D43" s="31" t="n"/>
      <c r="E43" s="13" t="n"/>
      <c r="F43" s="13" t="n"/>
      <c r="G43" s="16" t="n"/>
      <c r="H43" s="32">
        <f>IF(AND(ISNUMBER(G43),E43&lt;&gt;""),G43+IFERROR(INDEX($O$14:$O$16,MATCH(E43,$N$14:$N$16,0)),7),"")</f>
        <v/>
      </c>
      <c r="I43" s="13" t="n"/>
      <c r="J43" s="16" t="n"/>
      <c r="K43" s="26">
        <f>IF(NOT(ISNUMBER(G43)),"",IF(ISNUMBER(J43),J43,$C$6)-G43)</f>
        <v/>
      </c>
      <c r="L43" s="33">
        <f>IF(I43="","",IF(I43=INDEX($N$19:$N$22,4),"✓",IF(AND(ISNUMBER(H43),H43&lt;$C$6),"Overdue","")))</f>
        <v/>
      </c>
    </row>
    <row r="44">
      <c r="A44" s="22" t="n"/>
      <c r="B44" s="31" t="n"/>
      <c r="C44" s="13" t="n"/>
      <c r="D44" s="31" t="n"/>
      <c r="E44" s="13" t="n"/>
      <c r="F44" s="13" t="n"/>
      <c r="G44" s="16" t="n"/>
      <c r="H44" s="32">
        <f>IF(AND(ISNUMBER(G44),E44&lt;&gt;""),G44+IFERROR(INDEX($O$14:$O$16,MATCH(E44,$N$14:$N$16,0)),7),"")</f>
        <v/>
      </c>
      <c r="I44" s="13" t="n"/>
      <c r="J44" s="16" t="n"/>
      <c r="K44" s="26">
        <f>IF(NOT(ISNUMBER(G44)),"",IF(ISNUMBER(J44),J44,$C$6)-G44)</f>
        <v/>
      </c>
      <c r="L44" s="33">
        <f>IF(I44="","",IF(I44=INDEX($N$19:$N$22,4),"✓",IF(AND(ISNUMBER(H44),H44&lt;$C$6),"Overdue","")))</f>
        <v/>
      </c>
    </row>
    <row r="45">
      <c r="A45" s="22" t="n"/>
      <c r="B45" s="31" t="n"/>
      <c r="C45" s="13" t="n"/>
      <c r="D45" s="31" t="n"/>
      <c r="E45" s="13" t="n"/>
      <c r="F45" s="13" t="n"/>
      <c r="G45" s="16" t="n"/>
      <c r="H45" s="32">
        <f>IF(AND(ISNUMBER(G45),E45&lt;&gt;""),G45+IFERROR(INDEX($O$14:$O$16,MATCH(E45,$N$14:$N$16,0)),7),"")</f>
        <v/>
      </c>
      <c r="I45" s="13" t="n"/>
      <c r="J45" s="16" t="n"/>
      <c r="K45" s="26">
        <f>IF(NOT(ISNUMBER(G45)),"",IF(ISNUMBER(J45),J45,$C$6)-G45)</f>
        <v/>
      </c>
      <c r="L45" s="33">
        <f>IF(I45="","",IF(I45=INDEX($N$19:$N$22,4),"✓",IF(AND(ISNUMBER(H45),H45&lt;$C$6),"Overdue","")))</f>
        <v/>
      </c>
    </row>
    <row r="46">
      <c r="A46" s="22" t="n"/>
      <c r="B46" s="31" t="n"/>
      <c r="C46" s="13" t="n"/>
      <c r="D46" s="31" t="n"/>
      <c r="E46" s="13" t="n"/>
      <c r="F46" s="13" t="n"/>
      <c r="G46" s="16" t="n"/>
      <c r="H46" s="32">
        <f>IF(AND(ISNUMBER(G46),E46&lt;&gt;""),G46+IFERROR(INDEX($O$14:$O$16,MATCH(E46,$N$14:$N$16,0)),7),"")</f>
        <v/>
      </c>
      <c r="I46" s="13" t="n"/>
      <c r="J46" s="16" t="n"/>
      <c r="K46" s="26">
        <f>IF(NOT(ISNUMBER(G46)),"",IF(ISNUMBER(J46),J46,$C$6)-G46)</f>
        <v/>
      </c>
      <c r="L46" s="33">
        <f>IF(I46="","",IF(I46=INDEX($N$19:$N$22,4),"✓",IF(AND(ISNUMBER(H46),H46&lt;$C$6),"Overdue","")))</f>
        <v/>
      </c>
    </row>
    <row r="47">
      <c r="A47" s="22" t="n"/>
      <c r="B47" s="31" t="n"/>
      <c r="C47" s="13" t="n"/>
      <c r="D47" s="31" t="n"/>
      <c r="E47" s="13" t="n"/>
      <c r="F47" s="13" t="n"/>
      <c r="G47" s="16" t="n"/>
      <c r="H47" s="32">
        <f>IF(AND(ISNUMBER(G47),E47&lt;&gt;""),G47+IFERROR(INDEX($O$14:$O$16,MATCH(E47,$N$14:$N$16,0)),7),"")</f>
        <v/>
      </c>
      <c r="I47" s="13" t="n"/>
      <c r="J47" s="16" t="n"/>
      <c r="K47" s="26">
        <f>IF(NOT(ISNUMBER(G47)),"",IF(ISNUMBER(J47),J47,$C$6)-G47)</f>
        <v/>
      </c>
      <c r="L47" s="33">
        <f>IF(I47="","",IF(I47=INDEX($N$19:$N$22,4),"✓",IF(AND(ISNUMBER(H47),H47&lt;$C$6),"Overdue","")))</f>
        <v/>
      </c>
    </row>
    <row r="48">
      <c r="A48" s="22" t="n"/>
      <c r="B48" s="31" t="n"/>
      <c r="C48" s="13" t="n"/>
      <c r="D48" s="31" t="n"/>
      <c r="E48" s="13" t="n"/>
      <c r="F48" s="13" t="n"/>
      <c r="G48" s="16" t="n"/>
      <c r="H48" s="32">
        <f>IF(AND(ISNUMBER(G48),E48&lt;&gt;""),G48+IFERROR(INDEX($O$14:$O$16,MATCH(E48,$N$14:$N$16,0)),7),"")</f>
        <v/>
      </c>
      <c r="I48" s="13" t="n"/>
      <c r="J48" s="16" t="n"/>
      <c r="K48" s="26">
        <f>IF(NOT(ISNUMBER(G48)),"",IF(ISNUMBER(J48),J48,$C$6)-G48)</f>
        <v/>
      </c>
      <c r="L48" s="33">
        <f>IF(I48="","",IF(I48=INDEX($N$19:$N$22,4),"✓",IF(AND(ISNUMBER(H48),H48&lt;$C$6),"Overdue","")))</f>
        <v/>
      </c>
    </row>
    <row r="49">
      <c r="A49" s="22" t="n"/>
      <c r="B49" s="31" t="n"/>
      <c r="C49" s="13" t="n"/>
      <c r="D49" s="31" t="n"/>
      <c r="E49" s="13" t="n"/>
      <c r="F49" s="13" t="n"/>
      <c r="G49" s="16" t="n"/>
      <c r="H49" s="32">
        <f>IF(AND(ISNUMBER(G49),E49&lt;&gt;""),G49+IFERROR(INDEX($O$14:$O$16,MATCH(E49,$N$14:$N$16,0)),7),"")</f>
        <v/>
      </c>
      <c r="I49" s="13" t="n"/>
      <c r="J49" s="16" t="n"/>
      <c r="K49" s="26">
        <f>IF(NOT(ISNUMBER(G49)),"",IF(ISNUMBER(J49),J49,$C$6)-G49)</f>
        <v/>
      </c>
      <c r="L49" s="33">
        <f>IF(I49="","",IF(I49=INDEX($N$19:$N$22,4),"✓",IF(AND(ISNUMBER(H49),H49&lt;$C$6),"Overdue","")))</f>
        <v/>
      </c>
    </row>
    <row r="50">
      <c r="A50" s="22" t="n"/>
      <c r="B50" s="31" t="n"/>
      <c r="C50" s="13" t="n"/>
      <c r="D50" s="31" t="n"/>
      <c r="E50" s="13" t="n"/>
      <c r="F50" s="13" t="n"/>
      <c r="G50" s="16" t="n"/>
      <c r="H50" s="32">
        <f>IF(AND(ISNUMBER(G50),E50&lt;&gt;""),G50+IFERROR(INDEX($O$14:$O$16,MATCH(E50,$N$14:$N$16,0)),7),"")</f>
        <v/>
      </c>
      <c r="I50" s="13" t="n"/>
      <c r="J50" s="16" t="n"/>
      <c r="K50" s="26">
        <f>IF(NOT(ISNUMBER(G50)),"",IF(ISNUMBER(J50),J50,$C$6)-G50)</f>
        <v/>
      </c>
      <c r="L50" s="33">
        <f>IF(I50="","",IF(I50=INDEX($N$19:$N$22,4),"✓",IF(AND(ISNUMBER(H50),H50&lt;$C$6),"Overdue","")))</f>
        <v/>
      </c>
    </row>
    <row r="51">
      <c r="A51" s="22" t="n"/>
      <c r="B51" s="31" t="n"/>
      <c r="C51" s="13" t="n"/>
      <c r="D51" s="31" t="n"/>
      <c r="E51" s="13" t="n"/>
      <c r="F51" s="13" t="n"/>
      <c r="G51" s="16" t="n"/>
      <c r="H51" s="32">
        <f>IF(AND(ISNUMBER(G51),E51&lt;&gt;""),G51+IFERROR(INDEX($O$14:$O$16,MATCH(E51,$N$14:$N$16,0)),7),"")</f>
        <v/>
      </c>
      <c r="I51" s="13" t="n"/>
      <c r="J51" s="16" t="n"/>
      <c r="K51" s="26">
        <f>IF(NOT(ISNUMBER(G51)),"",IF(ISNUMBER(J51),J51,$C$6)-G51)</f>
        <v/>
      </c>
      <c r="L51" s="33">
        <f>IF(I51="","",IF(I51=INDEX($N$19:$N$22,4),"✓",IF(AND(ISNUMBER(H51),H51&lt;$C$6),"Overdue","")))</f>
        <v/>
      </c>
    </row>
    <row r="52">
      <c r="A52" s="22" t="n"/>
      <c r="B52" s="31" t="n"/>
      <c r="C52" s="13" t="n"/>
      <c r="D52" s="31" t="n"/>
      <c r="E52" s="13" t="n"/>
      <c r="F52" s="13" t="n"/>
      <c r="G52" s="16" t="n"/>
      <c r="H52" s="32">
        <f>IF(AND(ISNUMBER(G52),E52&lt;&gt;""),G52+IFERROR(INDEX($O$14:$O$16,MATCH(E52,$N$14:$N$16,0)),7),"")</f>
        <v/>
      </c>
      <c r="I52" s="13" t="n"/>
      <c r="J52" s="16" t="n"/>
      <c r="K52" s="26">
        <f>IF(NOT(ISNUMBER(G52)),"",IF(ISNUMBER(J52),J52,$C$6)-G52)</f>
        <v/>
      </c>
      <c r="L52" s="33">
        <f>IF(I52="","",IF(I52=INDEX($N$19:$N$22,4),"✓",IF(AND(ISNUMBER(H52),H52&lt;$C$6),"Overdue","")))</f>
        <v/>
      </c>
    </row>
    <row r="53">
      <c r="A53" s="22" t="n"/>
      <c r="B53" s="31" t="n"/>
      <c r="C53" s="13" t="n"/>
      <c r="D53" s="31" t="n"/>
      <c r="E53" s="13" t="n"/>
      <c r="F53" s="13" t="n"/>
      <c r="G53" s="16" t="n"/>
      <c r="H53" s="32">
        <f>IF(AND(ISNUMBER(G53),E53&lt;&gt;""),G53+IFERROR(INDEX($O$14:$O$16,MATCH(E53,$N$14:$N$16,0)),7),"")</f>
        <v/>
      </c>
      <c r="I53" s="13" t="n"/>
      <c r="J53" s="16" t="n"/>
      <c r="K53" s="26">
        <f>IF(NOT(ISNUMBER(G53)),"",IF(ISNUMBER(J53),J53,$C$6)-G53)</f>
        <v/>
      </c>
      <c r="L53" s="33">
        <f>IF(I53="","",IF(I53=INDEX($N$19:$N$22,4),"✓",IF(AND(ISNUMBER(H53),H53&lt;$C$6),"Overdue","")))</f>
        <v/>
      </c>
    </row>
    <row r="54">
      <c r="A54" s="22" t="n"/>
      <c r="B54" s="31" t="n"/>
      <c r="C54" s="13" t="n"/>
      <c r="D54" s="31" t="n"/>
      <c r="E54" s="13" t="n"/>
      <c r="F54" s="13" t="n"/>
      <c r="G54" s="16" t="n"/>
      <c r="H54" s="32">
        <f>IF(AND(ISNUMBER(G54),E54&lt;&gt;""),G54+IFERROR(INDEX($O$14:$O$16,MATCH(E54,$N$14:$N$16,0)),7),"")</f>
        <v/>
      </c>
      <c r="I54" s="13" t="n"/>
      <c r="J54" s="16" t="n"/>
      <c r="K54" s="26">
        <f>IF(NOT(ISNUMBER(G54)),"",IF(ISNUMBER(J54),J54,$C$6)-G54)</f>
        <v/>
      </c>
      <c r="L54" s="33">
        <f>IF(I54="","",IF(I54=INDEX($N$19:$N$22,4),"✓",IF(AND(ISNUMBER(H54),H54&lt;$C$6),"Overdue","")))</f>
        <v/>
      </c>
    </row>
    <row r="55">
      <c r="A55" s="22" t="n"/>
      <c r="B55" s="31" t="n"/>
      <c r="C55" s="13" t="n"/>
      <c r="D55" s="31" t="n"/>
      <c r="E55" s="13" t="n"/>
      <c r="F55" s="13" t="n"/>
      <c r="G55" s="16" t="n"/>
      <c r="H55" s="32">
        <f>IF(AND(ISNUMBER(G55),E55&lt;&gt;""),G55+IFERROR(INDEX($O$14:$O$16,MATCH(E55,$N$14:$N$16,0)),7),"")</f>
        <v/>
      </c>
      <c r="I55" s="13" t="n"/>
      <c r="J55" s="16" t="n"/>
      <c r="K55" s="26">
        <f>IF(NOT(ISNUMBER(G55)),"",IF(ISNUMBER(J55),J55,$C$6)-G55)</f>
        <v/>
      </c>
      <c r="L55" s="33">
        <f>IF(I55="","",IF(I55=INDEX($N$19:$N$22,4),"✓",IF(AND(ISNUMBER(H55),H55&lt;$C$6),"Overdue","")))</f>
        <v/>
      </c>
    </row>
    <row r="56">
      <c r="A56" s="22" t="n"/>
      <c r="B56" s="31" t="n"/>
      <c r="C56" s="13" t="n"/>
      <c r="D56" s="31" t="n"/>
      <c r="E56" s="13" t="n"/>
      <c r="F56" s="13" t="n"/>
      <c r="G56" s="16" t="n"/>
      <c r="H56" s="32">
        <f>IF(AND(ISNUMBER(G56),E56&lt;&gt;""),G56+IFERROR(INDEX($O$14:$O$16,MATCH(E56,$N$14:$N$16,0)),7),"")</f>
        <v/>
      </c>
      <c r="I56" s="13" t="n"/>
      <c r="J56" s="16" t="n"/>
      <c r="K56" s="26">
        <f>IF(NOT(ISNUMBER(G56)),"",IF(ISNUMBER(J56),J56,$C$6)-G56)</f>
        <v/>
      </c>
      <c r="L56" s="33">
        <f>IF(I56="","",IF(I56=INDEX($N$19:$N$22,4),"✓",IF(AND(ISNUMBER(H56),H56&lt;$C$6),"Overdue","")))</f>
        <v/>
      </c>
    </row>
    <row r="57">
      <c r="A57" s="22" t="n"/>
      <c r="B57" s="31" t="n"/>
      <c r="C57" s="13" t="n"/>
      <c r="D57" s="31" t="n"/>
      <c r="E57" s="13" t="n"/>
      <c r="F57" s="13" t="n"/>
      <c r="G57" s="16" t="n"/>
      <c r="H57" s="32">
        <f>IF(AND(ISNUMBER(G57),E57&lt;&gt;""),G57+IFERROR(INDEX($O$14:$O$16,MATCH(E57,$N$14:$N$16,0)),7),"")</f>
        <v/>
      </c>
      <c r="I57" s="13" t="n"/>
      <c r="J57" s="16" t="n"/>
      <c r="K57" s="26">
        <f>IF(NOT(ISNUMBER(G57)),"",IF(ISNUMBER(J57),J57,$C$6)-G57)</f>
        <v/>
      </c>
      <c r="L57" s="33">
        <f>IF(I57="","",IF(I57=INDEX($N$19:$N$22,4),"✓",IF(AND(ISNUMBER(H57),H57&lt;$C$6),"Overdue","")))</f>
        <v/>
      </c>
    </row>
    <row r="58">
      <c r="A58" s="22" t="n"/>
      <c r="B58" s="31" t="n"/>
      <c r="C58" s="13" t="n"/>
      <c r="D58" s="31" t="n"/>
      <c r="E58" s="13" t="n"/>
      <c r="F58" s="13" t="n"/>
      <c r="G58" s="16" t="n"/>
      <c r="H58" s="32">
        <f>IF(AND(ISNUMBER(G58),E58&lt;&gt;""),G58+IFERROR(INDEX($O$14:$O$16,MATCH(E58,$N$14:$N$16,0)),7),"")</f>
        <v/>
      </c>
      <c r="I58" s="13" t="n"/>
      <c r="J58" s="16" t="n"/>
      <c r="K58" s="26">
        <f>IF(NOT(ISNUMBER(G58)),"",IF(ISNUMBER(J58),J58,$C$6)-G58)</f>
        <v/>
      </c>
      <c r="L58" s="33">
        <f>IF(I58="","",IF(I58=INDEX($N$19:$N$22,4),"✓",IF(AND(ISNUMBER(H58),H58&lt;$C$6),"Overdue","")))</f>
        <v/>
      </c>
    </row>
    <row r="59">
      <c r="A59" s="22" t="n"/>
      <c r="B59" s="31" t="n"/>
      <c r="C59" s="13" t="n"/>
      <c r="D59" s="31" t="n"/>
      <c r="E59" s="13" t="n"/>
      <c r="F59" s="13" t="n"/>
      <c r="G59" s="16" t="n"/>
      <c r="H59" s="32">
        <f>IF(AND(ISNUMBER(G59),E59&lt;&gt;""),G59+IFERROR(INDEX($O$14:$O$16,MATCH(E59,$N$14:$N$16,0)),7),"")</f>
        <v/>
      </c>
      <c r="I59" s="13" t="n"/>
      <c r="J59" s="16" t="n"/>
      <c r="K59" s="26">
        <f>IF(NOT(ISNUMBER(G59)),"",IF(ISNUMBER(J59),J59,$C$6)-G59)</f>
        <v/>
      </c>
      <c r="L59" s="33">
        <f>IF(I59="","",IF(I59=INDEX($N$19:$N$22,4),"✓",IF(AND(ISNUMBER(H59),H59&lt;$C$6),"Overdue","")))</f>
        <v/>
      </c>
    </row>
    <row r="60">
      <c r="A60" s="22" t="n"/>
      <c r="B60" s="31" t="n"/>
      <c r="C60" s="13" t="n"/>
      <c r="D60" s="31" t="n"/>
      <c r="E60" s="13" t="n"/>
      <c r="F60" s="13" t="n"/>
      <c r="G60" s="16" t="n"/>
      <c r="H60" s="32">
        <f>IF(AND(ISNUMBER(G60),E60&lt;&gt;""),G60+IFERROR(INDEX($O$14:$O$16,MATCH(E60,$N$14:$N$16,0)),7),"")</f>
        <v/>
      </c>
      <c r="I60" s="13" t="n"/>
      <c r="J60" s="16" t="n"/>
      <c r="K60" s="26">
        <f>IF(NOT(ISNUMBER(G60)),"",IF(ISNUMBER(J60),J60,$C$6)-G60)</f>
        <v/>
      </c>
      <c r="L60" s="33">
        <f>IF(I60="","",IF(I60=INDEX($N$19:$N$22,4),"✓",IF(AND(ISNUMBER(H60),H60&lt;$C$6),"Overdue","")))</f>
        <v/>
      </c>
    </row>
    <row r="61">
      <c r="A61" s="22" t="n"/>
      <c r="B61" s="31" t="n"/>
      <c r="C61" s="13" t="n"/>
      <c r="D61" s="31" t="n"/>
      <c r="E61" s="13" t="n"/>
      <c r="F61" s="13" t="n"/>
      <c r="G61" s="16" t="n"/>
      <c r="H61" s="32">
        <f>IF(AND(ISNUMBER(G61),E61&lt;&gt;""),G61+IFERROR(INDEX($O$14:$O$16,MATCH(E61,$N$14:$N$16,0)),7),"")</f>
        <v/>
      </c>
      <c r="I61" s="13" t="n"/>
      <c r="J61" s="16" t="n"/>
      <c r="K61" s="26">
        <f>IF(NOT(ISNUMBER(G61)),"",IF(ISNUMBER(J61),J61,$C$6)-G61)</f>
        <v/>
      </c>
      <c r="L61" s="33">
        <f>IF(I61="","",IF(I61=INDEX($N$19:$N$22,4),"✓",IF(AND(ISNUMBER(H61),H61&lt;$C$6),"Overdue","")))</f>
        <v/>
      </c>
    </row>
    <row r="62">
      <c r="A62" s="22" t="n"/>
      <c r="B62" s="31" t="n"/>
      <c r="C62" s="13" t="n"/>
      <c r="D62" s="31" t="n"/>
      <c r="E62" s="13" t="n"/>
      <c r="F62" s="13" t="n"/>
      <c r="G62" s="16" t="n"/>
      <c r="H62" s="32">
        <f>IF(AND(ISNUMBER(G62),E62&lt;&gt;""),G62+IFERROR(INDEX($O$14:$O$16,MATCH(E62,$N$14:$N$16,0)),7),"")</f>
        <v/>
      </c>
      <c r="I62" s="13" t="n"/>
      <c r="J62" s="16" t="n"/>
      <c r="K62" s="26">
        <f>IF(NOT(ISNUMBER(G62)),"",IF(ISNUMBER(J62),J62,$C$6)-G62)</f>
        <v/>
      </c>
      <c r="L62" s="33">
        <f>IF(I62="","",IF(I62=INDEX($N$19:$N$22,4),"✓",IF(AND(ISNUMBER(H62),H62&lt;$C$6),"Overdue","")))</f>
        <v/>
      </c>
    </row>
    <row r="63">
      <c r="A63" s="22" t="n"/>
      <c r="B63" s="31" t="n"/>
      <c r="C63" s="13" t="n"/>
      <c r="D63" s="31" t="n"/>
      <c r="E63" s="13" t="n"/>
      <c r="F63" s="13" t="n"/>
      <c r="G63" s="16" t="n"/>
      <c r="H63" s="32">
        <f>IF(AND(ISNUMBER(G63),E63&lt;&gt;""),G63+IFERROR(INDEX($O$14:$O$16,MATCH(E63,$N$14:$N$16,0)),7),"")</f>
        <v/>
      </c>
      <c r="I63" s="13" t="n"/>
      <c r="J63" s="16" t="n"/>
      <c r="K63" s="26">
        <f>IF(NOT(ISNUMBER(G63)),"",IF(ISNUMBER(J63),J63,$C$6)-G63)</f>
        <v/>
      </c>
      <c r="L63" s="33">
        <f>IF(I63="","",IF(I63=INDEX($N$19:$N$22,4),"✓",IF(AND(ISNUMBER(H63),H63&lt;$C$6),"Overdue","")))</f>
        <v/>
      </c>
    </row>
    <row r="64">
      <c r="A64" s="22" t="n"/>
      <c r="B64" s="31" t="n"/>
      <c r="C64" s="13" t="n"/>
      <c r="D64" s="31" t="n"/>
      <c r="E64" s="13" t="n"/>
      <c r="F64" s="13" t="n"/>
      <c r="G64" s="16" t="n"/>
      <c r="H64" s="32">
        <f>IF(AND(ISNUMBER(G64),E64&lt;&gt;""),G64+IFERROR(INDEX($O$14:$O$16,MATCH(E64,$N$14:$N$16,0)),7),"")</f>
        <v/>
      </c>
      <c r="I64" s="13" t="n"/>
      <c r="J64" s="16" t="n"/>
      <c r="K64" s="26">
        <f>IF(NOT(ISNUMBER(G64)),"",IF(ISNUMBER(J64),J64,$C$6)-G64)</f>
        <v/>
      </c>
      <c r="L64" s="33">
        <f>IF(I64="","",IF(I64=INDEX($N$19:$N$22,4),"✓",IF(AND(ISNUMBER(H64),H64&lt;$C$6),"Overdue","")))</f>
        <v/>
      </c>
    </row>
    <row r="65">
      <c r="A65" s="22" t="n"/>
      <c r="B65" s="31" t="n"/>
      <c r="C65" s="13" t="n"/>
      <c r="D65" s="31" t="n"/>
      <c r="E65" s="13" t="n"/>
      <c r="F65" s="13" t="n"/>
      <c r="G65" s="16" t="n"/>
      <c r="H65" s="32">
        <f>IF(AND(ISNUMBER(G65),E65&lt;&gt;""),G65+IFERROR(INDEX($O$14:$O$16,MATCH(E65,$N$14:$N$16,0)),7),"")</f>
        <v/>
      </c>
      <c r="I65" s="13" t="n"/>
      <c r="J65" s="16" t="n"/>
      <c r="K65" s="26">
        <f>IF(NOT(ISNUMBER(G65)),"",IF(ISNUMBER(J65),J65,$C$6)-G65)</f>
        <v/>
      </c>
      <c r="L65" s="33">
        <f>IF(I65="","",IF(I65=INDEX($N$19:$N$22,4),"✓",IF(AND(ISNUMBER(H65),H65&lt;$C$6),"Overdue","")))</f>
        <v/>
      </c>
    </row>
    <row r="66">
      <c r="A66" s="22" t="n"/>
      <c r="B66" s="31" t="n"/>
      <c r="C66" s="13" t="n"/>
      <c r="D66" s="31" t="n"/>
      <c r="E66" s="13" t="n"/>
      <c r="F66" s="13" t="n"/>
      <c r="G66" s="16" t="n"/>
      <c r="H66" s="32">
        <f>IF(AND(ISNUMBER(G66),E66&lt;&gt;""),G66+IFERROR(INDEX($O$14:$O$16,MATCH(E66,$N$14:$N$16,0)),7),"")</f>
        <v/>
      </c>
      <c r="I66" s="13" t="n"/>
      <c r="J66" s="16" t="n"/>
      <c r="K66" s="26">
        <f>IF(NOT(ISNUMBER(G66)),"",IF(ISNUMBER(J66),J66,$C$6)-G66)</f>
        <v/>
      </c>
      <c r="L66" s="33">
        <f>IF(I66="","",IF(I66=INDEX($N$19:$N$22,4),"✓",IF(AND(ISNUMBER(H66),H66&lt;$C$6),"Overdue","")))</f>
        <v/>
      </c>
    </row>
    <row r="67">
      <c r="A67" s="22" t="n"/>
      <c r="B67" s="31" t="n"/>
      <c r="C67" s="13" t="n"/>
      <c r="D67" s="31" t="n"/>
      <c r="E67" s="13" t="n"/>
      <c r="F67" s="13" t="n"/>
      <c r="G67" s="16" t="n"/>
      <c r="H67" s="32">
        <f>IF(AND(ISNUMBER(G67),E67&lt;&gt;""),G67+IFERROR(INDEX($O$14:$O$16,MATCH(E67,$N$14:$N$16,0)),7),"")</f>
        <v/>
      </c>
      <c r="I67" s="13" t="n"/>
      <c r="J67" s="16" t="n"/>
      <c r="K67" s="26">
        <f>IF(NOT(ISNUMBER(G67)),"",IF(ISNUMBER(J67),J67,$C$6)-G67)</f>
        <v/>
      </c>
      <c r="L67" s="33">
        <f>IF(I67="","",IF(I67=INDEX($N$19:$N$22,4),"✓",IF(AND(ISNUMBER(H67),H67&lt;$C$6),"Overdue","")))</f>
        <v/>
      </c>
    </row>
    <row r="68">
      <c r="A68" s="22" t="n"/>
      <c r="B68" s="31" t="n"/>
      <c r="C68" s="13" t="n"/>
      <c r="D68" s="31" t="n"/>
      <c r="E68" s="13" t="n"/>
      <c r="F68" s="13" t="n"/>
      <c r="G68" s="16" t="n"/>
      <c r="H68" s="32">
        <f>IF(AND(ISNUMBER(G68),E68&lt;&gt;""),G68+IFERROR(INDEX($O$14:$O$16,MATCH(E68,$N$14:$N$16,0)),7),"")</f>
        <v/>
      </c>
      <c r="I68" s="13" t="n"/>
      <c r="J68" s="16" t="n"/>
      <c r="K68" s="26">
        <f>IF(NOT(ISNUMBER(G68)),"",IF(ISNUMBER(J68),J68,$C$6)-G68)</f>
        <v/>
      </c>
      <c r="L68" s="33">
        <f>IF(I68="","",IF(I68=INDEX($N$19:$N$22,4),"✓",IF(AND(ISNUMBER(H68),H68&lt;$C$6),"Overdue","")))</f>
        <v/>
      </c>
    </row>
    <row r="69">
      <c r="A69" s="22" t="n"/>
      <c r="B69" s="31" t="n"/>
      <c r="C69" s="13" t="n"/>
      <c r="D69" s="31" t="n"/>
      <c r="E69" s="13" t="n"/>
      <c r="F69" s="13" t="n"/>
      <c r="G69" s="16" t="n"/>
      <c r="H69" s="32">
        <f>IF(AND(ISNUMBER(G69),E69&lt;&gt;""),G69+IFERROR(INDEX($O$14:$O$16,MATCH(E69,$N$14:$N$16,0)),7),"")</f>
        <v/>
      </c>
      <c r="I69" s="13" t="n"/>
      <c r="J69" s="16" t="n"/>
      <c r="K69" s="26">
        <f>IF(NOT(ISNUMBER(G69)),"",IF(ISNUMBER(J69),J69,$C$6)-G69)</f>
        <v/>
      </c>
      <c r="L69" s="33">
        <f>IF(I69="","",IF(I69=INDEX($N$19:$N$22,4),"✓",IF(AND(ISNUMBER(H69),H69&lt;$C$6),"Overdue","")))</f>
        <v/>
      </c>
    </row>
    <row r="70">
      <c r="A70" s="22" t="n"/>
      <c r="B70" s="31" t="n"/>
      <c r="C70" s="13" t="n"/>
      <c r="D70" s="31" t="n"/>
      <c r="E70" s="13" t="n"/>
      <c r="F70" s="13" t="n"/>
      <c r="G70" s="16" t="n"/>
      <c r="H70" s="32">
        <f>IF(AND(ISNUMBER(G70),E70&lt;&gt;""),G70+IFERROR(INDEX($O$14:$O$16,MATCH(E70,$N$14:$N$16,0)),7),"")</f>
        <v/>
      </c>
      <c r="I70" s="13" t="n"/>
      <c r="J70" s="16" t="n"/>
      <c r="K70" s="26">
        <f>IF(NOT(ISNUMBER(G70)),"",IF(ISNUMBER(J70),J70,$C$6)-G70)</f>
        <v/>
      </c>
      <c r="L70" s="33">
        <f>IF(I70="","",IF(I70=INDEX($N$19:$N$22,4),"✓",IF(AND(ISNUMBER(H70),H70&lt;$C$6),"Overdue","")))</f>
        <v/>
      </c>
    </row>
    <row r="71">
      <c r="A71" s="22" t="n"/>
      <c r="B71" s="31" t="n"/>
      <c r="C71" s="13" t="n"/>
      <c r="D71" s="31" t="n"/>
      <c r="E71" s="13" t="n"/>
      <c r="F71" s="13" t="n"/>
      <c r="G71" s="16" t="n"/>
      <c r="H71" s="32">
        <f>IF(AND(ISNUMBER(G71),E71&lt;&gt;""),G71+IFERROR(INDEX($O$14:$O$16,MATCH(E71,$N$14:$N$16,0)),7),"")</f>
        <v/>
      </c>
      <c r="I71" s="13" t="n"/>
      <c r="J71" s="16" t="n"/>
      <c r="K71" s="26">
        <f>IF(NOT(ISNUMBER(G71)),"",IF(ISNUMBER(J71),J71,$C$6)-G71)</f>
        <v/>
      </c>
      <c r="L71" s="33">
        <f>IF(I71="","",IF(I71=INDEX($N$19:$N$22,4),"✓",IF(AND(ISNUMBER(H71),H71&lt;$C$6),"Overdue","")))</f>
        <v/>
      </c>
    </row>
    <row r="72">
      <c r="A72" s="22" t="n"/>
      <c r="B72" s="31" t="n"/>
      <c r="C72" s="13" t="n"/>
      <c r="D72" s="31" t="n"/>
      <c r="E72" s="13" t="n"/>
      <c r="F72" s="13" t="n"/>
      <c r="G72" s="16" t="n"/>
      <c r="H72" s="32">
        <f>IF(AND(ISNUMBER(G72),E72&lt;&gt;""),G72+IFERROR(INDEX($O$14:$O$16,MATCH(E72,$N$14:$N$16,0)),7),"")</f>
        <v/>
      </c>
      <c r="I72" s="13" t="n"/>
      <c r="J72" s="16" t="n"/>
      <c r="K72" s="26">
        <f>IF(NOT(ISNUMBER(G72)),"",IF(ISNUMBER(J72),J72,$C$6)-G72)</f>
        <v/>
      </c>
      <c r="L72" s="33">
        <f>IF(I72="","",IF(I72=INDEX($N$19:$N$22,4),"✓",IF(AND(ISNUMBER(H72),H72&lt;$C$6),"Overdue","")))</f>
        <v/>
      </c>
    </row>
    <row r="73">
      <c r="A73" s="22" t="n"/>
      <c r="B73" s="31" t="n"/>
      <c r="C73" s="13" t="n"/>
      <c r="D73" s="31" t="n"/>
      <c r="E73" s="13" t="n"/>
      <c r="F73" s="13" t="n"/>
      <c r="G73" s="16" t="n"/>
      <c r="H73" s="32">
        <f>IF(AND(ISNUMBER(G73),E73&lt;&gt;""),G73+IFERROR(INDEX($O$14:$O$16,MATCH(E73,$N$14:$N$16,0)),7),"")</f>
        <v/>
      </c>
      <c r="I73" s="13" t="n"/>
      <c r="J73" s="16" t="n"/>
      <c r="K73" s="26">
        <f>IF(NOT(ISNUMBER(G73)),"",IF(ISNUMBER(J73),J73,$C$6)-G73)</f>
        <v/>
      </c>
      <c r="L73" s="33">
        <f>IF(I73="","",IF(I73=INDEX($N$19:$N$22,4),"✓",IF(AND(ISNUMBER(H73),H73&lt;$C$6),"Overdue","")))</f>
        <v/>
      </c>
    </row>
    <row r="74">
      <c r="A74" s="22" t="n"/>
      <c r="B74" s="31" t="n"/>
      <c r="C74" s="13" t="n"/>
      <c r="D74" s="31" t="n"/>
      <c r="E74" s="13" t="n"/>
      <c r="F74" s="13" t="n"/>
      <c r="G74" s="16" t="n"/>
      <c r="H74" s="32">
        <f>IF(AND(ISNUMBER(G74),E74&lt;&gt;""),G74+IFERROR(INDEX($O$14:$O$16,MATCH(E74,$N$14:$N$16,0)),7),"")</f>
        <v/>
      </c>
      <c r="I74" s="13" t="n"/>
      <c r="J74" s="16" t="n"/>
      <c r="K74" s="26">
        <f>IF(NOT(ISNUMBER(G74)),"",IF(ISNUMBER(J74),J74,$C$6)-G74)</f>
        <v/>
      </c>
      <c r="L74" s="33">
        <f>IF(I74="","",IF(I74=INDEX($N$19:$N$22,4),"✓",IF(AND(ISNUMBER(H74),H74&lt;$C$6),"Overdue","")))</f>
        <v/>
      </c>
    </row>
    <row r="75">
      <c r="A75" s="22" t="n"/>
      <c r="B75" s="31" t="n"/>
      <c r="C75" s="13" t="n"/>
      <c r="D75" s="31" t="n"/>
      <c r="E75" s="13" t="n"/>
      <c r="F75" s="13" t="n"/>
      <c r="G75" s="16" t="n"/>
      <c r="H75" s="32">
        <f>IF(AND(ISNUMBER(G75),E75&lt;&gt;""),G75+IFERROR(INDEX($O$14:$O$16,MATCH(E75,$N$14:$N$16,0)),7),"")</f>
        <v/>
      </c>
      <c r="I75" s="13" t="n"/>
      <c r="J75" s="16" t="n"/>
      <c r="K75" s="26">
        <f>IF(NOT(ISNUMBER(G75)),"",IF(ISNUMBER(J75),J75,$C$6)-G75)</f>
        <v/>
      </c>
      <c r="L75" s="33">
        <f>IF(I75="","",IF(I75=INDEX($N$19:$N$22,4),"✓",IF(AND(ISNUMBER(H75),H75&lt;$C$6),"Overdue","")))</f>
        <v/>
      </c>
    </row>
    <row r="76">
      <c r="A76" s="22" t="n"/>
      <c r="B76" s="31" t="n"/>
      <c r="C76" s="13" t="n"/>
      <c r="D76" s="31" t="n"/>
      <c r="E76" s="13" t="n"/>
      <c r="F76" s="13" t="n"/>
      <c r="G76" s="16" t="n"/>
      <c r="H76" s="32">
        <f>IF(AND(ISNUMBER(G76),E76&lt;&gt;""),G76+IFERROR(INDEX($O$14:$O$16,MATCH(E76,$N$14:$N$16,0)),7),"")</f>
        <v/>
      </c>
      <c r="I76" s="13" t="n"/>
      <c r="J76" s="16" t="n"/>
      <c r="K76" s="26">
        <f>IF(NOT(ISNUMBER(G76)),"",IF(ISNUMBER(J76),J76,$C$6)-G76)</f>
        <v/>
      </c>
      <c r="L76" s="33">
        <f>IF(I76="","",IF(I76=INDEX($N$19:$N$22,4),"✓",IF(AND(ISNUMBER(H76),H76&lt;$C$6),"Overdue","")))</f>
        <v/>
      </c>
    </row>
    <row r="77">
      <c r="A77" s="22" t="n"/>
      <c r="B77" s="31" t="n"/>
      <c r="C77" s="13" t="n"/>
      <c r="D77" s="31" t="n"/>
      <c r="E77" s="13" t="n"/>
      <c r="F77" s="13" t="n"/>
      <c r="G77" s="16" t="n"/>
      <c r="H77" s="32">
        <f>IF(AND(ISNUMBER(G77),E77&lt;&gt;""),G77+IFERROR(INDEX($O$14:$O$16,MATCH(E77,$N$14:$N$16,0)),7),"")</f>
        <v/>
      </c>
      <c r="I77" s="13" t="n"/>
      <c r="J77" s="16" t="n"/>
      <c r="K77" s="26">
        <f>IF(NOT(ISNUMBER(G77)),"",IF(ISNUMBER(J77),J77,$C$6)-G77)</f>
        <v/>
      </c>
      <c r="L77" s="33">
        <f>IF(I77="","",IF(I77=INDEX($N$19:$N$22,4),"✓",IF(AND(ISNUMBER(H77),H77&lt;$C$6),"Overdue","")))</f>
        <v/>
      </c>
    </row>
    <row r="78">
      <c r="A78" s="22" t="n"/>
      <c r="B78" s="31" t="n"/>
      <c r="C78" s="13" t="n"/>
      <c r="D78" s="31" t="n"/>
      <c r="E78" s="13" t="n"/>
      <c r="F78" s="13" t="n"/>
      <c r="G78" s="16" t="n"/>
      <c r="H78" s="32">
        <f>IF(AND(ISNUMBER(G78),E78&lt;&gt;""),G78+IFERROR(INDEX($O$14:$O$16,MATCH(E78,$N$14:$N$16,0)),7),"")</f>
        <v/>
      </c>
      <c r="I78" s="13" t="n"/>
      <c r="J78" s="16" t="n"/>
      <c r="K78" s="26">
        <f>IF(NOT(ISNUMBER(G78)),"",IF(ISNUMBER(J78),J78,$C$6)-G78)</f>
        <v/>
      </c>
      <c r="L78" s="33">
        <f>IF(I78="","",IF(I78=INDEX($N$19:$N$22,4),"✓",IF(AND(ISNUMBER(H78),H78&lt;$C$6),"Overdue","")))</f>
        <v/>
      </c>
    </row>
    <row r="79">
      <c r="A79" s="22" t="n"/>
      <c r="B79" s="31" t="n"/>
      <c r="C79" s="13" t="n"/>
      <c r="D79" s="31" t="n"/>
      <c r="E79" s="13" t="n"/>
      <c r="F79" s="13" t="n"/>
      <c r="G79" s="16" t="n"/>
      <c r="H79" s="32">
        <f>IF(AND(ISNUMBER(G79),E79&lt;&gt;""),G79+IFERROR(INDEX($O$14:$O$16,MATCH(E79,$N$14:$N$16,0)),7),"")</f>
        <v/>
      </c>
      <c r="I79" s="13" t="n"/>
      <c r="J79" s="16" t="n"/>
      <c r="K79" s="26">
        <f>IF(NOT(ISNUMBER(G79)),"",IF(ISNUMBER(J79),J79,$C$6)-G79)</f>
        <v/>
      </c>
      <c r="L79" s="33">
        <f>IF(I79="","",IF(I79=INDEX($N$19:$N$22,4),"✓",IF(AND(ISNUMBER(H79),H79&lt;$C$6),"Overdue","")))</f>
        <v/>
      </c>
    </row>
    <row r="80">
      <c r="A80" s="22" t="n"/>
      <c r="B80" s="31" t="n"/>
      <c r="C80" s="13" t="n"/>
      <c r="D80" s="31" t="n"/>
      <c r="E80" s="13" t="n"/>
      <c r="F80" s="13" t="n"/>
      <c r="G80" s="16" t="n"/>
      <c r="H80" s="32">
        <f>IF(AND(ISNUMBER(G80),E80&lt;&gt;""),G80+IFERROR(INDEX($O$14:$O$16,MATCH(E80,$N$14:$N$16,0)),7),"")</f>
        <v/>
      </c>
      <c r="I80" s="13" t="n"/>
      <c r="J80" s="16" t="n"/>
      <c r="K80" s="26">
        <f>IF(NOT(ISNUMBER(G80)),"",IF(ISNUMBER(J80),J80,$C$6)-G80)</f>
        <v/>
      </c>
      <c r="L80" s="33">
        <f>IF(I80="","",IF(I80=INDEX($N$19:$N$22,4),"✓",IF(AND(ISNUMBER(H80),H80&lt;$C$6),"Overdue","")))</f>
        <v/>
      </c>
    </row>
    <row r="81">
      <c r="A81" s="22" t="n"/>
      <c r="B81" s="31" t="n"/>
      <c r="C81" s="13" t="n"/>
      <c r="D81" s="31" t="n"/>
      <c r="E81" s="13" t="n"/>
      <c r="F81" s="13" t="n"/>
      <c r="G81" s="16" t="n"/>
      <c r="H81" s="32">
        <f>IF(AND(ISNUMBER(G81),E81&lt;&gt;""),G81+IFERROR(INDEX($O$14:$O$16,MATCH(E81,$N$14:$N$16,0)),7),"")</f>
        <v/>
      </c>
      <c r="I81" s="13" t="n"/>
      <c r="J81" s="16" t="n"/>
      <c r="K81" s="26">
        <f>IF(NOT(ISNUMBER(G81)),"",IF(ISNUMBER(J81),J81,$C$6)-G81)</f>
        <v/>
      </c>
      <c r="L81" s="33">
        <f>IF(I81="","",IF(I81=INDEX($N$19:$N$22,4),"✓",IF(AND(ISNUMBER(H81),H81&lt;$C$6),"Overdue","")))</f>
        <v/>
      </c>
    </row>
    <row r="82">
      <c r="A82" s="22" t="n"/>
      <c r="B82" s="31" t="n"/>
      <c r="C82" s="13" t="n"/>
      <c r="D82" s="31" t="n"/>
      <c r="E82" s="13" t="n"/>
      <c r="F82" s="13" t="n"/>
      <c r="G82" s="16" t="n"/>
      <c r="H82" s="32">
        <f>IF(AND(ISNUMBER(G82),E82&lt;&gt;""),G82+IFERROR(INDEX($O$14:$O$16,MATCH(E82,$N$14:$N$16,0)),7),"")</f>
        <v/>
      </c>
      <c r="I82" s="13" t="n"/>
      <c r="J82" s="16" t="n"/>
      <c r="K82" s="26">
        <f>IF(NOT(ISNUMBER(G82)),"",IF(ISNUMBER(J82),J82,$C$6)-G82)</f>
        <v/>
      </c>
      <c r="L82" s="33">
        <f>IF(I82="","",IF(I82=INDEX($N$19:$N$22,4),"✓",IF(AND(ISNUMBER(H82),H82&lt;$C$6),"Overdue","")))</f>
        <v/>
      </c>
    </row>
    <row r="83">
      <c r="A83" s="22" t="n"/>
      <c r="B83" s="31" t="n"/>
      <c r="C83" s="13" t="n"/>
      <c r="D83" s="31" t="n"/>
      <c r="E83" s="13" t="n"/>
      <c r="F83" s="13" t="n"/>
      <c r="G83" s="16" t="n"/>
      <c r="H83" s="32">
        <f>IF(AND(ISNUMBER(G83),E83&lt;&gt;""),G83+IFERROR(INDEX($O$14:$O$16,MATCH(E83,$N$14:$N$16,0)),7),"")</f>
        <v/>
      </c>
      <c r="I83" s="13" t="n"/>
      <c r="J83" s="16" t="n"/>
      <c r="K83" s="26">
        <f>IF(NOT(ISNUMBER(G83)),"",IF(ISNUMBER(J83),J83,$C$6)-G83)</f>
        <v/>
      </c>
      <c r="L83" s="33">
        <f>IF(I83="","",IF(I83=INDEX($N$19:$N$22,4),"✓",IF(AND(ISNUMBER(H83),H83&lt;$C$6),"Overdue","")))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7">
    <mergeCell ref="I6:J6"/>
    <mergeCell ref="E5:F5"/>
    <mergeCell ref="K5:L5"/>
    <mergeCell ref="I19:L19"/>
    <mergeCell ref="A6:B6"/>
    <mergeCell ref="E8:L8"/>
    <mergeCell ref="A3:R3"/>
    <mergeCell ref="E17:L17"/>
    <mergeCell ref="E18:H18"/>
    <mergeCell ref="A7:B7"/>
    <mergeCell ref="A5:C5"/>
    <mergeCell ref="E12:H12"/>
    <mergeCell ref="A22:L22"/>
    <mergeCell ref="G6:H6"/>
    <mergeCell ref="E14:H14"/>
    <mergeCell ref="E6:F6"/>
    <mergeCell ref="E17:H17"/>
    <mergeCell ref="G5:H5"/>
    <mergeCell ref="I5:J5"/>
    <mergeCell ref="E19:H19"/>
    <mergeCell ref="E10:H10"/>
    <mergeCell ref="E13:H13"/>
    <mergeCell ref="I18:L18"/>
    <mergeCell ref="E15:H15"/>
    <mergeCell ref="A1:R1"/>
    <mergeCell ref="K6:L6"/>
    <mergeCell ref="E11:H11"/>
  </mergeCells>
  <conditionalFormatting sqref="L24:L83">
    <cfRule type="expression" priority="1" dxfId="0">
      <formula>$L24="Overdue"</formula>
    </cfRule>
    <cfRule type="expression" priority="2" dxfId="1">
      <formula>$L24="✓"</formula>
    </cfRule>
  </conditionalFormatting>
  <conditionalFormatting sqref="A24:K83">
    <cfRule type="expression" priority="3" dxfId="2">
      <formula>$I24=INDEX($N$19:$N$22,4)</formula>
    </cfRule>
  </conditionalFormatting>
  <conditionalFormatting sqref="E24:E83">
    <cfRule type="expression" priority="4" dxfId="3">
      <formula>AND($E24=INDEX($N$14:$N$16,1),$I24&lt;&gt;INDEX($N$19:$N$22,4))</formula>
    </cfRule>
  </conditionalFormatting>
  <conditionalFormatting sqref="E8">
    <cfRule type="expression" priority="5" dxfId="1">
      <formula>AND(COUNTIFS($E$24:$E$83,INDEX($N$14:$N$16,1),$I$24:$I$83,"&lt;&gt;"&amp;INDEX($N$19:$N$22,4))=0,(COUNTA($D$24:$D$83)-COUNTIF($I$24:$I$83,INDEX($N$19:$N$22,4)))&lt;=$C$7)</formula>
    </cfRule>
    <cfRule type="expression" priority="6" dxfId="4">
      <formula>NOT(AND(COUNTIFS($E$24:$E$83,INDEX($N$14:$N$16,1),$I$24:$I$83,"&lt;&gt;"&amp;INDEX($N$19:$N$22,4))=0,(COUNTA($D$24:$D$83)-COUNTIF($I$24:$I$83,INDEX($N$19:$N$22,4)))&lt;=$C$7))</formula>
    </cfRule>
  </conditionalFormatting>
  <conditionalFormatting sqref="L11:L15">
    <cfRule type="dataBar" priority="7">
      <dataBar showValue="1">
        <cfvo type="num" val="0"/>
        <cfvo type="max"/>
        <color rgb="00EAB308"/>
      </dataBar>
    </cfRule>
  </conditionalFormatting>
  <dataValidations count="8">
    <dataValidation sqref="C6" showDropDown="0" showInputMessage="0" showErrorMessage="1" allowBlank="1" errorTitle="Sheetaky" error="Enter a valid date" type="date" operator="greaterThan">
      <formula1>1</formula1>
    </dataValidation>
    <dataValidation sqref="C7" showDropDown="0" showInputMessage="0" showErrorMessage="1" allowBlank="1" errorTitle="Sheetaky" error="Enter a number between 0 and 500" type="whole" operator="between">
      <formula1>0</formula1>
      <formula2>500</formula2>
    </dataValidation>
    <dataValidation sqref="C24:C83" showDropDown="0" showInputMessage="0" showErrorMessage="1" allowBlank="1" errorTitle="Sheetaky" error="Pick a value from the list" type="list">
      <formula1>=$N$5:$N$11</formula1>
    </dataValidation>
    <dataValidation sqref="E24:E83" showDropDown="0" showInputMessage="0" showErrorMessage="1" allowBlank="1" errorTitle="Sheetaky" error="Pick a value from the list" type="list">
      <formula1>=$N$14:$N$16</formula1>
    </dataValidation>
    <dataValidation sqref="F24:F83" showDropDown="0" showInputMessage="0" showErrorMessage="1" allowBlank="1" errorTitle="Sheetaky" error="Pick a value from the list" type="list">
      <formula1>=$N$25:$N$29</formula1>
    </dataValidation>
    <dataValidation sqref="I24:I83" showDropDown="0" showInputMessage="0" showErrorMessage="1" allowBlank="1" errorTitle="Sheetaky" error="Pick a value from the list" type="list">
      <formula1>=$N$19:$N$22</formula1>
    </dataValidation>
    <dataValidation sqref="G24:G83" showDropDown="0" showInputMessage="0" showErrorMessage="1" allowBlank="1" errorTitle="Sheetaky" error="Enter a valid date" type="date" operator="greaterThan">
      <formula1>1</formula1>
    </dataValidation>
    <dataValidation sqref="J24:J83" showDropDown="0" showInputMessage="0" showErrorMessage="1" allowBlank="1" errorTitle="Sheetaky" error="Enter a valid date" type="date" operator="greaterThan">
      <formula1>1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EAB308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34" t="inlineStr">
        <is>
          <t>How to use: Punch list</t>
        </is>
      </c>
      <c r="B1" s="2" t="n"/>
    </row>
    <row r="2" ht="18" customHeight="1">
      <c r="A2" s="35" t="inlineStr">
        <is>
          <t>Sheetaky.com · Ready Excel sheets in Arabic and English</t>
        </is>
      </c>
      <c r="B2" s="36" t="n"/>
    </row>
    <row r="4" ht="22" customHeight="1">
      <c r="A4" s="7" t="inlineStr">
        <is>
          <t>What is this sheet?</t>
        </is>
      </c>
      <c r="B4" s="8" t="n"/>
    </row>
    <row r="5" ht="30" customHeight="1">
      <c r="A5" s="37" t="inlineStr">
        <is>
          <t>Tracks snag and defect items before handover: owner, priority, due date, delay and readiness for handover.</t>
        </is>
      </c>
    </row>
    <row r="7" ht="22" customHeight="1">
      <c r="A7" s="7" t="inlineStr">
        <is>
          <t>Steps</t>
        </is>
      </c>
      <c r="B7" s="8" t="n"/>
    </row>
    <row r="8" ht="20" customHeight="1">
      <c r="A8" s="38" t="n">
        <v>1</v>
      </c>
      <c r="B8" s="37" t="inlineStr">
        <is>
          <t>Enter the report date and the maximum open items at handover.</t>
        </is>
      </c>
    </row>
    <row r="9" ht="20" customHeight="1">
      <c r="A9" s="38" t="n">
        <v>2</v>
      </c>
      <c r="B9" s="37" t="inlineStr">
        <is>
          <t>Log each item with location, discipline, description, priority, owner and raised date.</t>
        </is>
      </c>
    </row>
    <row r="10" ht="20" customHeight="1">
      <c r="A10" s="38" t="n">
        <v>3</v>
      </c>
      <c r="B10" s="37" t="inlineStr">
        <is>
          <t>The due date is computed from the priority in the SLA table.</t>
        </is>
      </c>
    </row>
    <row r="11" ht="20" customHeight="1">
      <c r="A11" s="38" t="n">
        <v>4</v>
      </c>
      <c r="B11" s="37" t="inlineStr">
        <is>
          <t>Update status and close date and watch handover readiness.</t>
        </is>
      </c>
    </row>
    <row r="13" ht="22" customHeight="1">
      <c r="A13" s="7" t="inlineStr">
        <is>
          <t>Color legend</t>
        </is>
      </c>
      <c r="B13" s="8" t="n"/>
    </row>
    <row r="14">
      <c r="A14" s="31" t="inlineStr"/>
      <c r="B14" s="37" t="inlineStr">
        <is>
          <t>Input cell: type or choose your value here (blue text on yellow).</t>
        </is>
      </c>
    </row>
    <row r="15">
      <c r="A15" s="39" t="inlineStr"/>
      <c r="B15" s="37" t="inlineStr">
        <is>
          <t>Calculated cell: automatic formula, protected from accidental edits.</t>
        </is>
      </c>
    </row>
    <row r="16">
      <c r="A16" s="40" t="inlineStr"/>
      <c r="B16" s="37" t="inlineStr">
        <is>
          <t>Table and section headers.</t>
        </is>
      </c>
    </row>
    <row r="18" ht="22" customHeight="1">
      <c r="A18" s="7" t="inlineStr">
        <is>
          <t>Important notes</t>
        </is>
      </c>
      <c r="B18" s="8" t="n"/>
    </row>
    <row r="19" ht="20" customHeight="1">
      <c r="A19" s="41" t="inlineStr">
        <is>
          <t>•</t>
        </is>
      </c>
      <c r="B19" s="42" t="inlineStr">
        <is>
          <t>SLA days per priority are editable in the right-hand list.</t>
        </is>
      </c>
    </row>
    <row r="20" ht="20" customHeight="1">
      <c r="A20" s="41" t="inlineStr">
        <is>
          <t>•</t>
        </is>
      </c>
      <c r="B20" s="42" t="inlineStr">
        <is>
          <t>Closed items turn grey.</t>
        </is>
      </c>
    </row>
    <row r="21" ht="20" customHeight="1">
      <c r="A21" s="41" t="inlineStr">
        <is>
          <t>•</t>
        </is>
      </c>
      <c r="B21" s="42" t="inlineStr">
        <is>
          <t>Readiness requires no open high-priority items and open items within the limit.</t>
        </is>
      </c>
    </row>
    <row r="22" ht="30" customHeight="1">
      <c r="A22" s="41" t="inlineStr">
        <is>
          <t>•</t>
        </is>
      </c>
      <c r="B22" s="42" t="inlineStr">
        <is>
          <t>Sheets are protected without a password to keep formulas safe. To unprotect: Review → Unprotect Sheet.</t>
        </is>
      </c>
    </row>
    <row r="23" ht="20" customHeight="1">
      <c r="A23" s="41" t="inlineStr">
        <is>
          <t>•</t>
        </is>
      </c>
      <c r="B23" s="42" t="inlineStr">
        <is>
          <t>The data shown is a worked example. Clear it and type your own data in the yellow cells only.</t>
        </is>
      </c>
    </row>
    <row r="24" ht="20" customHeight="1">
      <c r="A24" s="41" t="inlineStr">
        <is>
          <t>•</t>
        </is>
      </c>
      <c r="B24" s="42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PCH</dc:title>
  <dcterms:created xmlns:dcterms="http://purl.org/dc/terms/" xmlns:xsi="http://www.w3.org/2001/XMLSchema-instance" xsi:type="dcterms:W3CDTF">2026-10-23T13:03:43Z</dcterms:created>
  <dcterms:modified xmlns:dcterms="http://purl.org/dc/terms/" xmlns:xsi="http://www.w3.org/2001/XMLSchema-instance" xsi:type="dcterms:W3CDTF">2026-10-23T13:03:44Z</dcterms:modified>
</cp:coreProperties>
</file>