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ساحة القطع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#,##0.000"/>
    <numFmt numFmtId="166" formatCode="#,##0.0000"/>
    <numFmt numFmtId="167" formatCode="#,##0.00;[Red]-#,##0.00"/>
    <numFmt numFmtId="168" formatCode="0.00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A1D3D"/>
      <sz val="10"/>
    </font>
    <font>
      <name val="Segoe UI"/>
      <b val="1"/>
      <color rgb="0012163F"/>
      <sz val="11"/>
    </font>
    <font>
      <name val="Segoe UI"/>
      <b val="1"/>
      <color rgb="001A1D3D"/>
      <sz val="10"/>
    </font>
    <font>
      <name val="Segoe UI"/>
      <color rgb="001F4FB5"/>
      <sz val="10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b val="1"/>
      <color rgb="005B6090"/>
      <sz val="9"/>
    </font>
    <font>
      <name val="Segoe UI"/>
      <b val="1"/>
      <color rgb="001D2260"/>
      <sz val="18"/>
    </font>
    <font>
      <name val="Segoe UI"/>
      <b val="1"/>
      <color rgb="00E9C46A"/>
      <sz val="10"/>
    </font>
  </fonts>
  <fills count="7">
    <fill>
      <patternFill/>
    </fill>
    <fill>
      <patternFill patternType="gray125"/>
    </fill>
    <fill>
      <patternFill patternType="solid">
        <fgColor rgb="001D2260"/>
      </patternFill>
    </fill>
    <fill>
      <patternFill patternType="solid">
        <fgColor rgb="0012163F"/>
      </patternFill>
    </fill>
    <fill>
      <patternFill patternType="solid">
        <fgColor rgb="00DADFF5"/>
      </patternFill>
    </fill>
    <fill>
      <patternFill patternType="solid">
        <fgColor rgb="00FFF6D6"/>
      </patternFill>
    </fill>
    <fill>
      <patternFill patternType="solid">
        <fgColor rgb="00E1E5F8"/>
      </patternFill>
    </fill>
  </fills>
  <borders count="7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top style="medium">
        <color rgb="00E9C46A"/>
      </top>
    </border>
    <border/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5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8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0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5" borderId="1" applyAlignment="1" applyProtection="1" pivotButton="0" quotePrefix="0" xfId="0">
      <alignment horizontal="center" vertical="center" wrapText="1" readingOrder="2"/>
      <protection locked="0" hidden="0"/>
    </xf>
    <xf numFmtId="4" fontId="9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4" fontId="11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0" fontId="4" fillId="0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wrapText="1" readingOrder="2"/>
    </xf>
    <xf numFmtId="3" fontId="7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4" borderId="1" applyAlignment="1" pivotButton="0" quotePrefix="0" xfId="0">
      <alignment horizontal="center" vertical="center" wrapText="1" readingOrder="2"/>
    </xf>
    <xf numFmtId="4" fontId="7" fillId="5" borderId="1" applyAlignment="1" applyProtection="1" pivotButton="0" quotePrefix="0" xfId="0">
      <alignment horizontal="center" vertical="center" wrapText="1" readingOrder="2"/>
      <protection locked="0" hidden="0"/>
    </xf>
    <xf numFmtId="166" fontId="6" fillId="6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" fontId="4" fillId="6" borderId="1" applyAlignment="1" pivotButton="0" quotePrefix="0" xfId="0">
      <alignment horizontal="center" vertical="center" wrapText="1" readingOrder="2"/>
    </xf>
    <xf numFmtId="0" fontId="0" fillId="0" borderId="6" pivotButton="0" quotePrefix="0" xfId="0"/>
    <xf numFmtId="167" fontId="4" fillId="6" borderId="1" applyAlignment="1" pivotButton="0" quotePrefix="0" xfId="0">
      <alignment horizontal="center" vertical="center" wrapText="1" readingOrder="2"/>
    </xf>
    <xf numFmtId="10" fontId="4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2" fontId="4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1" fontId="7" fillId="5" borderId="1" applyAlignment="1" applyProtection="1" pivotButton="0" quotePrefix="0" xfId="0">
      <alignment horizontal="center" vertical="center" wrapText="1" readingOrder="2"/>
      <protection locked="0" hidden="0"/>
    </xf>
    <xf numFmtId="165" fontId="7" fillId="5" borderId="1" applyAlignment="1" applyProtection="1" pivotButton="0" quotePrefix="0" xfId="0">
      <alignment horizontal="center" vertical="center" wrapText="1" readingOrder="2"/>
      <protection locked="0" hidden="0"/>
    </xf>
    <xf numFmtId="164" fontId="4" fillId="6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168" fontId="4" fillId="6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7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6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Segoe UI"/>
        <color rgb="001A1D3D"/>
      </font>
      <fill>
        <patternFill patternType="solid">
          <fgColor rgb="00B7E1A1"/>
        </patternFill>
      </fill>
    </dxf>
    <dxf>
      <font>
        <name val="Segoe UI"/>
        <color rgb="001A1D3D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شكل القطعة</a:t>
            </a:r>
          </a:p>
        </rich>
      </tx>
    </title>
    <plotArea>
      <scatterChart>
        <ser>
          <idx val="0"/>
          <order val="0"/>
          <spPr>
            <a:ln xmlns:a="http://schemas.openxmlformats.org/drawingml/2006/main">
              <a:solidFill>
                <a:srgbClr val="1D226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E9C46A"/>
              </a:solidFill>
              <a:ln xmlns:a="http://schemas.openxmlformats.org/drawingml/2006/main">
                <a:prstDash val="solid"/>
              </a:ln>
            </spPr>
          </marker>
          <xVal>
            <numRef>
              <f>'مساحة القطعة'!$N$19:$N$31</f>
            </numRef>
          </xVal>
          <yVal>
            <numRef>
              <f>'مساحة القطعة'!$O$19:$O$31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040000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R49"/>
  <sheetViews>
    <sheetView showGridLines="0" rightToLeft="1" zoomScale="10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4" customWidth="1" min="3" max="3"/>
    <col width="14" customWidth="1" min="4" max="4"/>
    <col width="13" customWidth="1" min="5" max="5"/>
    <col width="14" customWidth="1" min="6" max="6"/>
    <col width="16" customWidth="1" min="7" max="7"/>
    <col width="13" customWidth="1" min="8" max="8"/>
    <col width="3" customWidth="1" min="9" max="9"/>
    <col width="14" customWidth="1" min="10" max="10"/>
    <col width="14" customWidth="1" min="11" max="11"/>
    <col width="12" customWidth="1" min="12" max="12"/>
    <col width="20" customWidth="1" min="13" max="13"/>
    <col width="14" customWidth="1" min="14" max="14"/>
    <col width="14" customWidth="1" min="15" max="15"/>
    <col width="3" customWidth="1" min="16" max="16"/>
    <col width="20" customWidth="1" min="17" max="17"/>
    <col width="14" customWidth="1" min="18" max="18"/>
  </cols>
  <sheetData>
    <row r="1" ht="36" customHeight="1">
      <c r="A1" s="1" t="inlineStr">
        <is>
          <t>مساحة القطعة غير المنتظمة من الإحداثيات: المساحة والمحيط والاتجاهات والزوايا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" t="inlineStr">
        <is>
          <t>أدخل إحداثيات رؤوس القطعة بالترتيب فيحسب الشيت المساحة بطريقة الإحداثيات (شوليس) والمحيط وطول كل ضلع واتجاهه والزوايا الداخلية ومركز القطعة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4" ht="18" customHeight="1">
      <c r="A4" s="5" t="inlineStr">
        <is>
          <t>الإعدادات</t>
        </is>
      </c>
      <c r="B4" s="6" t="n"/>
      <c r="C4" s="6" t="n"/>
      <c r="D4" s="6" t="n"/>
      <c r="F4" s="7" t="inlineStr">
        <is>
          <t>المساحة (م²)</t>
        </is>
      </c>
      <c r="G4" s="8" t="n"/>
      <c r="H4" s="8" t="n"/>
      <c r="J4" s="9" t="inlineStr">
        <is>
          <t>المحيط (م)</t>
        </is>
      </c>
      <c r="K4" s="10" t="n"/>
      <c r="Q4" s="11" t="inlineStr">
        <is>
          <t>وحدة المساحة</t>
        </is>
      </c>
      <c r="R4" s="11" t="inlineStr">
        <is>
          <t>المساحة بالمتر²</t>
        </is>
      </c>
    </row>
    <row r="5" ht="34" customHeight="1">
      <c r="A5" s="12" t="inlineStr">
        <is>
          <t>وحدة الإحداثيات</t>
        </is>
      </c>
      <c r="C5" s="13" t="inlineStr">
        <is>
          <t>متر</t>
        </is>
      </c>
      <c r="F5" s="14">
        <f>IF(COUNT($C$19:$C$48)&gt;=3,(ABS(SUM($J$19:$J$48))/2*INDEX($R$12:$R$13,MATCH($C$5,$Q$12:$Q$13,0))^2),0)</f>
        <v/>
      </c>
      <c r="G5" s="15" t="n"/>
      <c r="H5" s="15" t="n"/>
      <c r="J5" s="16">
        <f>SUM($E$19:$E$48)</f>
        <v/>
      </c>
      <c r="K5" s="17" t="n"/>
      <c r="Q5" s="18" t="inlineStr">
        <is>
          <t>م²</t>
        </is>
      </c>
      <c r="R5" s="19" t="n">
        <v>1</v>
      </c>
    </row>
    <row r="6">
      <c r="A6" s="12" t="inlineStr">
        <is>
          <t>وحدة عرض المساحة</t>
        </is>
      </c>
      <c r="C6" s="13" t="inlineStr">
        <is>
          <t>هكتار</t>
        </is>
      </c>
      <c r="Q6" s="18" t="inlineStr">
        <is>
          <t>هكتار</t>
        </is>
      </c>
      <c r="R6" s="19" t="n">
        <v>10000</v>
      </c>
    </row>
    <row r="7">
      <c r="A7" s="12" t="inlineStr">
        <is>
          <t>سعر المتر المربع (ريال)</t>
        </is>
      </c>
      <c r="C7" s="20" t="n">
        <v>850</v>
      </c>
      <c r="F7" s="21" t="inlineStr">
        <is>
          <t>المساحة بالوحدة المختارة</t>
        </is>
      </c>
      <c r="J7" s="21" t="inlineStr">
        <is>
          <t>قيمة الأرض (ريال)</t>
        </is>
      </c>
      <c r="Q7" s="18" t="inlineStr">
        <is>
          <t>دونم</t>
        </is>
      </c>
      <c r="R7" s="19" t="n">
        <v>1000</v>
      </c>
    </row>
    <row r="8">
      <c r="A8" s="12" t="inlineStr">
        <is>
          <t>المساحة بحسب الصك (م²)</t>
        </is>
      </c>
      <c r="C8" s="22" t="n">
        <v>8060</v>
      </c>
      <c r="F8" s="23">
        <f>IF(COUNT($C$19:$C$48)&gt;=3,(ABS(SUM($J$19:$J$48))/2*INDEX($R$12:$R$13,MATCH($C$5,$Q$12:$Q$13,0))^2)/INDEX($R$5:$R$9,MATCH($C$6,$Q$5:$Q$9,0)),0)</f>
        <v/>
      </c>
      <c r="J8" s="24">
        <f>IF(COUNT($C$19:$C$48)&gt;=3,(ABS(SUM($J$19:$J$48))/2*INDEX($R$12:$R$13,MATCH($C$5,$Q$12:$Q$13,0))^2)*$C$7,0)</f>
        <v/>
      </c>
      <c r="Q8" s="18" t="inlineStr">
        <is>
          <t>فدان (مصر)</t>
        </is>
      </c>
      <c r="R8" s="19" t="n">
        <v>4200.83</v>
      </c>
    </row>
    <row r="9">
      <c r="Q9" s="18" t="inlineStr">
        <is>
          <t>قدم²</t>
        </is>
      </c>
      <c r="R9" s="19" t="n">
        <v>0.09290304000000001</v>
      </c>
    </row>
    <row r="10">
      <c r="F10" s="25" t="inlineStr">
        <is>
          <t>عدد الرؤوس</t>
        </is>
      </c>
      <c r="J10" s="26">
        <f>COUNT($C$19:$C$48)</f>
        <v/>
      </c>
      <c r="K10" s="27" t="n"/>
    </row>
    <row r="11" ht="30" customHeight="1">
      <c r="F11" s="25" t="inlineStr">
        <is>
          <t>فرق عن الصك (م²)</t>
        </is>
      </c>
      <c r="J11" s="28">
        <f>IF(COUNT($C$19:$C$48)&gt;=3,(ABS(SUM($J$19:$J$48))/2*INDEX($R$12:$R$13,MATCH($C$5,$Q$12:$Q$13,0))^2)-$C$8,0)</f>
        <v/>
      </c>
      <c r="K11" s="27" t="n"/>
      <c r="Q11" s="11" t="inlineStr">
        <is>
          <t>وحدة الإحداثيات</t>
        </is>
      </c>
      <c r="R11" s="11" t="inlineStr">
        <is>
          <t>متر لكل وحدة</t>
        </is>
      </c>
    </row>
    <row r="12">
      <c r="F12" s="25" t="inlineStr">
        <is>
          <t>الفرق %</t>
        </is>
      </c>
      <c r="J12" s="29">
        <f>IF(AND(COUNT($C$19:$C$48)&gt;=3,$C$8&gt;0),((ABS(SUM($J$19:$J$48))/2*INDEX($R$12:$R$13,MATCH($C$5,$Q$12:$Q$13,0))^2)-$C$8)/$C$8,0)</f>
        <v/>
      </c>
      <c r="K12" s="27" t="n"/>
      <c r="Q12" s="18" t="inlineStr">
        <is>
          <t>متر</t>
        </is>
      </c>
      <c r="R12" s="19" t="n">
        <v>1</v>
      </c>
    </row>
    <row r="13">
      <c r="F13" s="25" t="inlineStr">
        <is>
          <t>مركز الثقل X</t>
        </is>
      </c>
      <c r="J13" s="30">
        <f>IF(SUM($J$19:$J$48)=0,"",SUM($L$19:$L$48)/(3*SUM($J$19:$J$48)))</f>
        <v/>
      </c>
      <c r="K13" s="27" t="n"/>
      <c r="Q13" s="18" t="inlineStr">
        <is>
          <t>قدم دولي</t>
        </is>
      </c>
      <c r="R13" s="19" t="n">
        <v>0.3048</v>
      </c>
    </row>
    <row r="14">
      <c r="F14" s="25" t="inlineStr">
        <is>
          <t>مركز الثقل Y</t>
        </is>
      </c>
      <c r="J14" s="30">
        <f>IF(SUM($J$19:$J$48)=0,"",SUM($M$19:$M$48)/(3*SUM($J$19:$J$48)))</f>
        <v/>
      </c>
      <c r="K14" s="27" t="n"/>
    </row>
    <row r="15">
      <c r="F15" s="25" t="inlineStr">
        <is>
          <t>مجموع الزوايا الداخلية °</t>
        </is>
      </c>
      <c r="J15" s="31">
        <f>SUM($H$19:$H$48)</f>
        <v/>
      </c>
      <c r="K15" s="27" t="n"/>
    </row>
    <row r="16">
      <c r="F16" s="32">
        <f>IF(COUNT($C$19:$C$48)&lt;3,"أدخل 3 رؤوس على الأقل",IF(ABS(SUM($H$19:$H$48)-(COUNT($C$19:$C$48)-2)*180)&lt;0.01,"✔ الزوايا متسقة: لا تقاطع ظاهر","✖ الزوايا غير متسقة: راجع ترتيب الرؤوس"))</f>
        <v/>
      </c>
    </row>
    <row r="17" ht="44" customHeight="1">
      <c r="A17" s="5" t="inlineStr">
        <is>
          <t>رؤوس القطعة بالترتيب (مع عقارب الساعة أو عكسها)</t>
        </is>
      </c>
      <c r="B17" s="6" t="n"/>
      <c r="C17" s="6" t="n"/>
      <c r="D17" s="6" t="n"/>
      <c r="E17" s="6" t="n"/>
      <c r="F17" s="6" t="n"/>
      <c r="G17" s="6" t="n"/>
      <c r="H17" s="6" t="n"/>
      <c r="J17" s="11" t="inlineStr">
        <is>
          <t>حد الشوليس</t>
        </is>
      </c>
      <c r="K17" s="11" t="inlineStr">
        <is>
          <t>اتجاه للخلف</t>
        </is>
      </c>
      <c r="L17" s="11" t="inlineStr">
        <is>
          <t>Cx</t>
        </is>
      </c>
      <c r="M17" s="11" t="inlineStr">
        <is>
          <t>Cy</t>
        </is>
      </c>
      <c r="N17" s="11" t="inlineStr">
        <is>
          <t>X (chart)</t>
        </is>
      </c>
      <c r="O17" s="11" t="inlineStr">
        <is>
          <t>Y (chart)</t>
        </is>
      </c>
    </row>
    <row r="18" ht="44" customHeight="1">
      <c r="A18" s="11" t="inlineStr">
        <is>
          <t>#</t>
        </is>
      </c>
      <c r="B18" s="11" t="inlineStr">
        <is>
          <t>الرأس</t>
        </is>
      </c>
      <c r="C18" s="11" t="inlineStr">
        <is>
          <t>X / شرق</t>
        </is>
      </c>
      <c r="D18" s="11" t="inlineStr">
        <is>
          <t>Y / شمال</t>
        </is>
      </c>
      <c r="E18" s="11" t="inlineStr">
        <is>
          <t>طول الضلع للتالي</t>
        </is>
      </c>
      <c r="F18" s="11" t="inlineStr">
        <is>
          <t>الاتجاه °</t>
        </is>
      </c>
      <c r="G18" s="11" t="inlineStr">
        <is>
          <t>الاتجاه (د ث)</t>
        </is>
      </c>
      <c r="H18" s="11" t="inlineStr">
        <is>
          <t>الزاوية الداخلية °</t>
        </is>
      </c>
    </row>
    <row r="19">
      <c r="A19" s="33" t="n">
        <v>1</v>
      </c>
      <c r="B19" s="13" t="inlineStr">
        <is>
          <t>A</t>
        </is>
      </c>
      <c r="C19" s="34" t="n">
        <v>1000</v>
      </c>
      <c r="D19" s="34" t="n">
        <v>1000</v>
      </c>
      <c r="E19" s="30">
        <f>IF(AND(ISNUMBER(C19),ISNUMBER(D19),1&lt;=COUNT($C$19:$C$48),COUNT($C$19:$C$48)&gt;=3),SQRT((INDEX($C$19:$C$48,IF(1&lt;COUNT($C$19:$C$48),2,1))-C19)^2+(INDEX($D$19:$D$48,IF(1&lt;COUNT($C$19:$C$48),2,1))-D19)^2)*INDEX($R$12:$R$13,MATCH($C$5,$Q$12:$Q$13,0)),"")</f>
        <v/>
      </c>
      <c r="F19" s="35">
        <f>IF(AND(ISNUMBER(C19),ISNUMBER(D19),1&lt;=COUNT($C$19:$C$48),COUNT($C$19:$C$48)&gt;=3),MOD(DEGREES(ATAN2(INDEX($D$19:$D$48,IF(1&lt;COUNT($C$19:$C$48),2,1))-D19,INDEX($C$19:$C$48,IF(1&lt;COUNT($C$19:$C$48),2,1))-C19)),360),"")</f>
        <v/>
      </c>
      <c r="G19" s="36">
        <f>IF(F19="","",INT(F19)&amp;"° "&amp;INT(MOD(F19,1)*60)&amp;"' "&amp;TEXT(MOD(MOD(F19,1)*60,1)*60,"00.0")&amp;CHAR(34))</f>
        <v/>
      </c>
      <c r="H19" s="31">
        <f>IF(F19="","",IF((SUM($J$19:$J$48)&lt;0),MOD(INDEX($K$19:$K$48,IF(1=1,COUNT($C$19:$C$48),0))-F19,360),360-MOD(INDEX($K$19:$K$48,IF(1=1,COUNT($C$19:$C$48),0))-F19,360)))</f>
        <v/>
      </c>
      <c r="J19" s="30">
        <f>IF(AND(ISNUMBER(C19),ISNUMBER(D19),1&lt;=COUNT($C$19:$C$48),COUNT($C$19:$C$48)&gt;=3),C19*INDEX($D$19:$D$48,IF(1&lt;COUNT($C$19:$C$48),2,1))-INDEX($C$19:$C$48,IF(1&lt;COUNT($C$19:$C$48),2,1))*D19,"")</f>
        <v/>
      </c>
      <c r="K19" s="35">
        <f>IF(F19="","",MOD(F19+180,360))</f>
        <v/>
      </c>
      <c r="L19" s="26">
        <f>IF(J19="","",(C19+INDEX($C$19:$C$48,IF(1&lt;COUNT($C$19:$C$48),2,1)))*J19)</f>
        <v/>
      </c>
      <c r="M19" s="26">
        <f>IF(J19="","",(D19+INDEX($D$19:$D$48,IF(1&lt;COUNT($C$19:$C$48),2,1)))*J19)</f>
        <v/>
      </c>
      <c r="N19" s="37">
        <f>IF(COUNT($C$19:$C$48)&lt;3,"",IF(1&lt;=COUNT($C$19:$C$48),INDEX($C$19:$C$48,1),INDEX($C$19:$C$48,1)))</f>
        <v/>
      </c>
      <c r="O19" s="37">
        <f>IF(COUNT($C$19:$C$48)&lt;3,"",IF(1&lt;=COUNT($C$19:$C$48),INDEX($D$19:$D$48,1),INDEX($D$19:$D$48,1)))</f>
        <v/>
      </c>
    </row>
    <row r="20">
      <c r="A20" s="33" t="n">
        <v>2</v>
      </c>
      <c r="B20" s="13" t="inlineStr">
        <is>
          <t>B</t>
        </is>
      </c>
      <c r="C20" s="34" t="n">
        <v>1042.5</v>
      </c>
      <c r="D20" s="34" t="n">
        <v>1003.2</v>
      </c>
      <c r="E20" s="30">
        <f>IF(AND(ISNUMBER(C20),ISNUMBER(D20),2&lt;=COUNT($C$19:$C$48),COUNT($C$19:$C$48)&gt;=3),SQRT((INDEX($C$19:$C$48,IF(2&lt;COUNT($C$19:$C$48),3,1))-C20)^2+(INDEX($D$19:$D$48,IF(2&lt;COUNT($C$19:$C$48),3,1))-D20)^2)*INDEX($R$12:$R$13,MATCH($C$5,$Q$12:$Q$13,0)),"")</f>
        <v/>
      </c>
      <c r="F20" s="35">
        <f>IF(AND(ISNUMBER(C20),ISNUMBER(D20),2&lt;=COUNT($C$19:$C$48),COUNT($C$19:$C$48)&gt;=3),MOD(DEGREES(ATAN2(INDEX($D$19:$D$48,IF(2&lt;COUNT($C$19:$C$48),3,1))-D20,INDEX($C$19:$C$48,IF(2&lt;COUNT($C$19:$C$48),3,1))-C20)),360),"")</f>
        <v/>
      </c>
      <c r="G20" s="36">
        <f>IF(F20="","",INT(F20)&amp;"° "&amp;INT(MOD(F20,1)*60)&amp;"' "&amp;TEXT(MOD(MOD(F20,1)*60,1)*60,"00.0")&amp;CHAR(34))</f>
        <v/>
      </c>
      <c r="H20" s="31">
        <f>IF(F20="","",IF((SUM($J$19:$J$48)&lt;0),MOD(INDEX($K$19:$K$48,IF(2=1,COUNT($C$19:$C$48),1))-F20,360),360-MOD(INDEX($K$19:$K$48,IF(2=1,COUNT($C$19:$C$48),1))-F20,360)))</f>
        <v/>
      </c>
      <c r="J20" s="30">
        <f>IF(AND(ISNUMBER(C20),ISNUMBER(D20),2&lt;=COUNT($C$19:$C$48),COUNT($C$19:$C$48)&gt;=3),C20*INDEX($D$19:$D$48,IF(2&lt;COUNT($C$19:$C$48),3,1))-INDEX($C$19:$C$48,IF(2&lt;COUNT($C$19:$C$48),3,1))*D20,"")</f>
        <v/>
      </c>
      <c r="K20" s="35">
        <f>IF(F20="","",MOD(F20+180,360))</f>
        <v/>
      </c>
      <c r="L20" s="26">
        <f>IF(J20="","",(C20+INDEX($C$19:$C$48,IF(2&lt;COUNT($C$19:$C$48),3,1)))*J20)</f>
        <v/>
      </c>
      <c r="M20" s="26">
        <f>IF(J20="","",(D20+INDEX($D$19:$D$48,IF(2&lt;COUNT($C$19:$C$48),3,1)))*J20)</f>
        <v/>
      </c>
      <c r="N20" s="37">
        <f>IF(COUNT($C$19:$C$48)&lt;3,"",IF(2&lt;=COUNT($C$19:$C$48),INDEX($C$19:$C$48,2),INDEX($C$19:$C$48,1)))</f>
        <v/>
      </c>
      <c r="O20" s="37">
        <f>IF(COUNT($C$19:$C$48)&lt;3,"",IF(2&lt;=COUNT($C$19:$C$48),INDEX($D$19:$D$48,2),INDEX($D$19:$D$48,1)))</f>
        <v/>
      </c>
    </row>
    <row r="21">
      <c r="A21" s="33" t="n">
        <v>3</v>
      </c>
      <c r="B21" s="13" t="inlineStr">
        <is>
          <t>C</t>
        </is>
      </c>
      <c r="C21" s="34" t="n">
        <v>1085</v>
      </c>
      <c r="D21" s="34" t="n">
        <v>1021.4</v>
      </c>
      <c r="E21" s="30">
        <f>IF(AND(ISNUMBER(C21),ISNUMBER(D21),3&lt;=COUNT($C$19:$C$48),COUNT($C$19:$C$48)&gt;=3),SQRT((INDEX($C$19:$C$48,IF(3&lt;COUNT($C$19:$C$48),4,1))-C21)^2+(INDEX($D$19:$D$48,IF(3&lt;COUNT($C$19:$C$48),4,1))-D21)^2)*INDEX($R$12:$R$13,MATCH($C$5,$Q$12:$Q$13,0)),"")</f>
        <v/>
      </c>
      <c r="F21" s="35">
        <f>IF(AND(ISNUMBER(C21),ISNUMBER(D21),3&lt;=COUNT($C$19:$C$48),COUNT($C$19:$C$48)&gt;=3),MOD(DEGREES(ATAN2(INDEX($D$19:$D$48,IF(3&lt;COUNT($C$19:$C$48),4,1))-D21,INDEX($C$19:$C$48,IF(3&lt;COUNT($C$19:$C$48),4,1))-C21)),360),"")</f>
        <v/>
      </c>
      <c r="G21" s="36">
        <f>IF(F21="","",INT(F21)&amp;"° "&amp;INT(MOD(F21,1)*60)&amp;"' "&amp;TEXT(MOD(MOD(F21,1)*60,1)*60,"00.0")&amp;CHAR(34))</f>
        <v/>
      </c>
      <c r="H21" s="31">
        <f>IF(F21="","",IF((SUM($J$19:$J$48)&lt;0),MOD(INDEX($K$19:$K$48,IF(3=1,COUNT($C$19:$C$48),2))-F21,360),360-MOD(INDEX($K$19:$K$48,IF(3=1,COUNT($C$19:$C$48),2))-F21,360)))</f>
        <v/>
      </c>
      <c r="J21" s="30">
        <f>IF(AND(ISNUMBER(C21),ISNUMBER(D21),3&lt;=COUNT($C$19:$C$48),COUNT($C$19:$C$48)&gt;=3),C21*INDEX($D$19:$D$48,IF(3&lt;COUNT($C$19:$C$48),4,1))-INDEX($C$19:$C$48,IF(3&lt;COUNT($C$19:$C$48),4,1))*D21,"")</f>
        <v/>
      </c>
      <c r="K21" s="35">
        <f>IF(F21="","",MOD(F21+180,360))</f>
        <v/>
      </c>
      <c r="L21" s="26">
        <f>IF(J21="","",(C21+INDEX($C$19:$C$48,IF(3&lt;COUNT($C$19:$C$48),4,1)))*J21)</f>
        <v/>
      </c>
      <c r="M21" s="26">
        <f>IF(J21="","",(D21+INDEX($D$19:$D$48,IF(3&lt;COUNT($C$19:$C$48),4,1)))*J21)</f>
        <v/>
      </c>
      <c r="N21" s="37">
        <f>IF(COUNT($C$19:$C$48)&lt;3,"",IF(3&lt;=COUNT($C$19:$C$48),INDEX($C$19:$C$48,3),INDEX($C$19:$C$48,1)))</f>
        <v/>
      </c>
      <c r="O21" s="37">
        <f>IF(COUNT($C$19:$C$48)&lt;3,"",IF(3&lt;=COUNT($C$19:$C$48),INDEX($D$19:$D$48,3),INDEX($D$19:$D$48,1)))</f>
        <v/>
      </c>
    </row>
    <row r="22">
      <c r="A22" s="33" t="n">
        <v>4</v>
      </c>
      <c r="B22" s="13" t="inlineStr">
        <is>
          <t>D</t>
        </is>
      </c>
      <c r="C22" s="34" t="n">
        <v>1096.8</v>
      </c>
      <c r="D22" s="34" t="n">
        <v>1066</v>
      </c>
      <c r="E22" s="30">
        <f>IF(AND(ISNUMBER(C22),ISNUMBER(D22),4&lt;=COUNT($C$19:$C$48),COUNT($C$19:$C$48)&gt;=3),SQRT((INDEX($C$19:$C$48,IF(4&lt;COUNT($C$19:$C$48),5,1))-C22)^2+(INDEX($D$19:$D$48,IF(4&lt;COUNT($C$19:$C$48),5,1))-D22)^2)*INDEX($R$12:$R$13,MATCH($C$5,$Q$12:$Q$13,0)),"")</f>
        <v/>
      </c>
      <c r="F22" s="35">
        <f>IF(AND(ISNUMBER(C22),ISNUMBER(D22),4&lt;=COUNT($C$19:$C$48),COUNT($C$19:$C$48)&gt;=3),MOD(DEGREES(ATAN2(INDEX($D$19:$D$48,IF(4&lt;COUNT($C$19:$C$48),5,1))-D22,INDEX($C$19:$C$48,IF(4&lt;COUNT($C$19:$C$48),5,1))-C22)),360),"")</f>
        <v/>
      </c>
      <c r="G22" s="36">
        <f>IF(F22="","",INT(F22)&amp;"° "&amp;INT(MOD(F22,1)*60)&amp;"' "&amp;TEXT(MOD(MOD(F22,1)*60,1)*60,"00.0")&amp;CHAR(34))</f>
        <v/>
      </c>
      <c r="H22" s="31">
        <f>IF(F22="","",IF((SUM($J$19:$J$48)&lt;0),MOD(INDEX($K$19:$K$48,IF(4=1,COUNT($C$19:$C$48),3))-F22,360),360-MOD(INDEX($K$19:$K$48,IF(4=1,COUNT($C$19:$C$48),3))-F22,360)))</f>
        <v/>
      </c>
      <c r="J22" s="30">
        <f>IF(AND(ISNUMBER(C22),ISNUMBER(D22),4&lt;=COUNT($C$19:$C$48),COUNT($C$19:$C$48)&gt;=3),C22*INDEX($D$19:$D$48,IF(4&lt;COUNT($C$19:$C$48),5,1))-INDEX($C$19:$C$48,IF(4&lt;COUNT($C$19:$C$48),5,1))*D22,"")</f>
        <v/>
      </c>
      <c r="K22" s="35">
        <f>IF(F22="","",MOD(F22+180,360))</f>
        <v/>
      </c>
      <c r="L22" s="26">
        <f>IF(J22="","",(C22+INDEX($C$19:$C$48,IF(4&lt;COUNT($C$19:$C$48),5,1)))*J22)</f>
        <v/>
      </c>
      <c r="M22" s="26">
        <f>IF(J22="","",(D22+INDEX($D$19:$D$48,IF(4&lt;COUNT($C$19:$C$48),5,1)))*J22)</f>
        <v/>
      </c>
      <c r="N22" s="37">
        <f>IF(COUNT($C$19:$C$48)&lt;3,"",IF(4&lt;=COUNT($C$19:$C$48),INDEX($C$19:$C$48,4),INDEX($C$19:$C$48,1)))</f>
        <v/>
      </c>
      <c r="O22" s="37">
        <f>IF(COUNT($C$19:$C$48)&lt;3,"",IF(4&lt;=COUNT($C$19:$C$48),INDEX($D$19:$D$48,4),INDEX($D$19:$D$48,1)))</f>
        <v/>
      </c>
    </row>
    <row r="23">
      <c r="A23" s="33" t="n">
        <v>5</v>
      </c>
      <c r="B23" s="13" t="inlineStr">
        <is>
          <t>E</t>
        </is>
      </c>
      <c r="C23" s="34" t="n">
        <v>1058.3</v>
      </c>
      <c r="D23" s="34" t="n">
        <v>1098.7</v>
      </c>
      <c r="E23" s="30">
        <f>IF(AND(ISNUMBER(C23),ISNUMBER(D23),5&lt;=COUNT($C$19:$C$48),COUNT($C$19:$C$48)&gt;=3),SQRT((INDEX($C$19:$C$48,IF(5&lt;COUNT($C$19:$C$48),6,1))-C23)^2+(INDEX($D$19:$D$48,IF(5&lt;COUNT($C$19:$C$48),6,1))-D23)^2)*INDEX($R$12:$R$13,MATCH($C$5,$Q$12:$Q$13,0)),"")</f>
        <v/>
      </c>
      <c r="F23" s="35">
        <f>IF(AND(ISNUMBER(C23),ISNUMBER(D23),5&lt;=COUNT($C$19:$C$48),COUNT($C$19:$C$48)&gt;=3),MOD(DEGREES(ATAN2(INDEX($D$19:$D$48,IF(5&lt;COUNT($C$19:$C$48),6,1))-D23,INDEX($C$19:$C$48,IF(5&lt;COUNT($C$19:$C$48),6,1))-C23)),360),"")</f>
        <v/>
      </c>
      <c r="G23" s="36">
        <f>IF(F23="","",INT(F23)&amp;"° "&amp;INT(MOD(F23,1)*60)&amp;"' "&amp;TEXT(MOD(MOD(F23,1)*60,1)*60,"00.0")&amp;CHAR(34))</f>
        <v/>
      </c>
      <c r="H23" s="31">
        <f>IF(F23="","",IF((SUM($J$19:$J$48)&lt;0),MOD(INDEX($K$19:$K$48,IF(5=1,COUNT($C$19:$C$48),4))-F23,360),360-MOD(INDEX($K$19:$K$48,IF(5=1,COUNT($C$19:$C$48),4))-F23,360)))</f>
        <v/>
      </c>
      <c r="J23" s="30">
        <f>IF(AND(ISNUMBER(C23),ISNUMBER(D23),5&lt;=COUNT($C$19:$C$48),COUNT($C$19:$C$48)&gt;=3),C23*INDEX($D$19:$D$48,IF(5&lt;COUNT($C$19:$C$48),6,1))-INDEX($C$19:$C$48,IF(5&lt;COUNT($C$19:$C$48),6,1))*D23,"")</f>
        <v/>
      </c>
      <c r="K23" s="35">
        <f>IF(F23="","",MOD(F23+180,360))</f>
        <v/>
      </c>
      <c r="L23" s="26">
        <f>IF(J23="","",(C23+INDEX($C$19:$C$48,IF(5&lt;COUNT($C$19:$C$48),6,1)))*J23)</f>
        <v/>
      </c>
      <c r="M23" s="26">
        <f>IF(J23="","",(D23+INDEX($D$19:$D$48,IF(5&lt;COUNT($C$19:$C$48),6,1)))*J23)</f>
        <v/>
      </c>
      <c r="N23" s="37">
        <f>IF(COUNT($C$19:$C$48)&lt;3,"",IF(5&lt;=COUNT($C$19:$C$48),INDEX($C$19:$C$48,5),INDEX($C$19:$C$48,1)))</f>
        <v/>
      </c>
      <c r="O23" s="37">
        <f>IF(COUNT($C$19:$C$48)&lt;3,"",IF(5&lt;=COUNT($C$19:$C$48),INDEX($D$19:$D$48,5),INDEX($D$19:$D$48,1)))</f>
        <v/>
      </c>
    </row>
    <row r="24">
      <c r="A24" s="33" t="n">
        <v>6</v>
      </c>
      <c r="B24" s="13" t="inlineStr">
        <is>
          <t>F</t>
        </is>
      </c>
      <c r="C24" s="34" t="n">
        <v>1012.9</v>
      </c>
      <c r="D24" s="34" t="n">
        <v>1090.2</v>
      </c>
      <c r="E24" s="30">
        <f>IF(AND(ISNUMBER(C24),ISNUMBER(D24),6&lt;=COUNT($C$19:$C$48),COUNT($C$19:$C$48)&gt;=3),SQRT((INDEX($C$19:$C$48,IF(6&lt;COUNT($C$19:$C$48),7,1))-C24)^2+(INDEX($D$19:$D$48,IF(6&lt;COUNT($C$19:$C$48),7,1))-D24)^2)*INDEX($R$12:$R$13,MATCH($C$5,$Q$12:$Q$13,0)),"")</f>
        <v/>
      </c>
      <c r="F24" s="35">
        <f>IF(AND(ISNUMBER(C24),ISNUMBER(D24),6&lt;=COUNT($C$19:$C$48),COUNT($C$19:$C$48)&gt;=3),MOD(DEGREES(ATAN2(INDEX($D$19:$D$48,IF(6&lt;COUNT($C$19:$C$48),7,1))-D24,INDEX($C$19:$C$48,IF(6&lt;COUNT($C$19:$C$48),7,1))-C24)),360),"")</f>
        <v/>
      </c>
      <c r="G24" s="36">
        <f>IF(F24="","",INT(F24)&amp;"° "&amp;INT(MOD(F24,1)*60)&amp;"' "&amp;TEXT(MOD(MOD(F24,1)*60,1)*60,"00.0")&amp;CHAR(34))</f>
        <v/>
      </c>
      <c r="H24" s="31">
        <f>IF(F24="","",IF((SUM($J$19:$J$48)&lt;0),MOD(INDEX($K$19:$K$48,IF(6=1,COUNT($C$19:$C$48),5))-F24,360),360-MOD(INDEX($K$19:$K$48,IF(6=1,COUNT($C$19:$C$48),5))-F24,360)))</f>
        <v/>
      </c>
      <c r="J24" s="30">
        <f>IF(AND(ISNUMBER(C24),ISNUMBER(D24),6&lt;=COUNT($C$19:$C$48),COUNT($C$19:$C$48)&gt;=3),C24*INDEX($D$19:$D$48,IF(6&lt;COUNT($C$19:$C$48),7,1))-INDEX($C$19:$C$48,IF(6&lt;COUNT($C$19:$C$48),7,1))*D24,"")</f>
        <v/>
      </c>
      <c r="K24" s="35">
        <f>IF(F24="","",MOD(F24+180,360))</f>
        <v/>
      </c>
      <c r="L24" s="26">
        <f>IF(J24="","",(C24+INDEX($C$19:$C$48,IF(6&lt;COUNT($C$19:$C$48),7,1)))*J24)</f>
        <v/>
      </c>
      <c r="M24" s="26">
        <f>IF(J24="","",(D24+INDEX($D$19:$D$48,IF(6&lt;COUNT($C$19:$C$48),7,1)))*J24)</f>
        <v/>
      </c>
      <c r="N24" s="37">
        <f>IF(COUNT($C$19:$C$48)&lt;3,"",IF(6&lt;=COUNT($C$19:$C$48),INDEX($C$19:$C$48,6),INDEX($C$19:$C$48,1)))</f>
        <v/>
      </c>
      <c r="O24" s="37">
        <f>IF(COUNT($C$19:$C$48)&lt;3,"",IF(6&lt;=COUNT($C$19:$C$48),INDEX($D$19:$D$48,6),INDEX($D$19:$D$48,1)))</f>
        <v/>
      </c>
    </row>
    <row r="25">
      <c r="A25" s="33" t="n">
        <v>7</v>
      </c>
      <c r="B25" s="13" t="inlineStr">
        <is>
          <t>G</t>
        </is>
      </c>
      <c r="C25" s="34" t="n">
        <v>985.4</v>
      </c>
      <c r="D25" s="34" t="n">
        <v>1052.8</v>
      </c>
      <c r="E25" s="30">
        <f>IF(AND(ISNUMBER(C25),ISNUMBER(D25),7&lt;=COUNT($C$19:$C$48),COUNT($C$19:$C$48)&gt;=3),SQRT((INDEX($C$19:$C$48,IF(7&lt;COUNT($C$19:$C$48),8,1))-C25)^2+(INDEX($D$19:$D$48,IF(7&lt;COUNT($C$19:$C$48),8,1))-D25)^2)*INDEX($R$12:$R$13,MATCH($C$5,$Q$12:$Q$13,0)),"")</f>
        <v/>
      </c>
      <c r="F25" s="35">
        <f>IF(AND(ISNUMBER(C25),ISNUMBER(D25),7&lt;=COUNT($C$19:$C$48),COUNT($C$19:$C$48)&gt;=3),MOD(DEGREES(ATAN2(INDEX($D$19:$D$48,IF(7&lt;COUNT($C$19:$C$48),8,1))-D25,INDEX($C$19:$C$48,IF(7&lt;COUNT($C$19:$C$48),8,1))-C25)),360),"")</f>
        <v/>
      </c>
      <c r="G25" s="36">
        <f>IF(F25="","",INT(F25)&amp;"° "&amp;INT(MOD(F25,1)*60)&amp;"' "&amp;TEXT(MOD(MOD(F25,1)*60,1)*60,"00.0")&amp;CHAR(34))</f>
        <v/>
      </c>
      <c r="H25" s="31">
        <f>IF(F25="","",IF((SUM($J$19:$J$48)&lt;0),MOD(INDEX($K$19:$K$48,IF(7=1,COUNT($C$19:$C$48),6))-F25,360),360-MOD(INDEX($K$19:$K$48,IF(7=1,COUNT($C$19:$C$48),6))-F25,360)))</f>
        <v/>
      </c>
      <c r="J25" s="30">
        <f>IF(AND(ISNUMBER(C25),ISNUMBER(D25),7&lt;=COUNT($C$19:$C$48),COUNT($C$19:$C$48)&gt;=3),C25*INDEX($D$19:$D$48,IF(7&lt;COUNT($C$19:$C$48),8,1))-INDEX($C$19:$C$48,IF(7&lt;COUNT($C$19:$C$48),8,1))*D25,"")</f>
        <v/>
      </c>
      <c r="K25" s="35">
        <f>IF(F25="","",MOD(F25+180,360))</f>
        <v/>
      </c>
      <c r="L25" s="26">
        <f>IF(J25="","",(C25+INDEX($C$19:$C$48,IF(7&lt;COUNT($C$19:$C$48),8,1)))*J25)</f>
        <v/>
      </c>
      <c r="M25" s="26">
        <f>IF(J25="","",(D25+INDEX($D$19:$D$48,IF(7&lt;COUNT($C$19:$C$48),8,1)))*J25)</f>
        <v/>
      </c>
      <c r="N25" s="37">
        <f>IF(COUNT($C$19:$C$48)&lt;3,"",IF(7&lt;=COUNT($C$19:$C$48),INDEX($C$19:$C$48,7),INDEX($C$19:$C$48,1)))</f>
        <v/>
      </c>
      <c r="O25" s="37">
        <f>IF(COUNT($C$19:$C$48)&lt;3,"",IF(7&lt;=COUNT($C$19:$C$48),INDEX($D$19:$D$48,7),INDEX($D$19:$D$48,1)))</f>
        <v/>
      </c>
    </row>
    <row r="26">
      <c r="A26" s="33" t="n">
        <v>8</v>
      </c>
      <c r="B26" s="13" t="inlineStr">
        <is>
          <t>H</t>
        </is>
      </c>
      <c r="C26" s="34" t="n">
        <v>989.6</v>
      </c>
      <c r="D26" s="34" t="n">
        <v>1021</v>
      </c>
      <c r="E26" s="30">
        <f>IF(AND(ISNUMBER(C26),ISNUMBER(D26),8&lt;=COUNT($C$19:$C$48),COUNT($C$19:$C$48)&gt;=3),SQRT((INDEX($C$19:$C$48,IF(8&lt;COUNT($C$19:$C$48),9,1))-C26)^2+(INDEX($D$19:$D$48,IF(8&lt;COUNT($C$19:$C$48),9,1))-D26)^2)*INDEX($R$12:$R$13,MATCH($C$5,$Q$12:$Q$13,0)),"")</f>
        <v/>
      </c>
      <c r="F26" s="35">
        <f>IF(AND(ISNUMBER(C26),ISNUMBER(D26),8&lt;=COUNT($C$19:$C$48),COUNT($C$19:$C$48)&gt;=3),MOD(DEGREES(ATAN2(INDEX($D$19:$D$48,IF(8&lt;COUNT($C$19:$C$48),9,1))-D26,INDEX($C$19:$C$48,IF(8&lt;COUNT($C$19:$C$48),9,1))-C26)),360),"")</f>
        <v/>
      </c>
      <c r="G26" s="36">
        <f>IF(F26="","",INT(F26)&amp;"° "&amp;INT(MOD(F26,1)*60)&amp;"' "&amp;TEXT(MOD(MOD(F26,1)*60,1)*60,"00.0")&amp;CHAR(34))</f>
        <v/>
      </c>
      <c r="H26" s="31">
        <f>IF(F26="","",IF((SUM($J$19:$J$48)&lt;0),MOD(INDEX($K$19:$K$48,IF(8=1,COUNT($C$19:$C$48),7))-F26,360),360-MOD(INDEX($K$19:$K$48,IF(8=1,COUNT($C$19:$C$48),7))-F26,360)))</f>
        <v/>
      </c>
      <c r="J26" s="30">
        <f>IF(AND(ISNUMBER(C26),ISNUMBER(D26),8&lt;=COUNT($C$19:$C$48),COUNT($C$19:$C$48)&gt;=3),C26*INDEX($D$19:$D$48,IF(8&lt;COUNT($C$19:$C$48),9,1))-INDEX($C$19:$C$48,IF(8&lt;COUNT($C$19:$C$48),9,1))*D26,"")</f>
        <v/>
      </c>
      <c r="K26" s="35">
        <f>IF(F26="","",MOD(F26+180,360))</f>
        <v/>
      </c>
      <c r="L26" s="26">
        <f>IF(J26="","",(C26+INDEX($C$19:$C$48,IF(8&lt;COUNT($C$19:$C$48),9,1)))*J26)</f>
        <v/>
      </c>
      <c r="M26" s="26">
        <f>IF(J26="","",(D26+INDEX($D$19:$D$48,IF(8&lt;COUNT($C$19:$C$48),9,1)))*J26)</f>
        <v/>
      </c>
      <c r="N26" s="37">
        <f>IF(COUNT($C$19:$C$48)&lt;3,"",IF(8&lt;=COUNT($C$19:$C$48),INDEX($C$19:$C$48,8),INDEX($C$19:$C$48,1)))</f>
        <v/>
      </c>
      <c r="O26" s="37">
        <f>IF(COUNT($C$19:$C$48)&lt;3,"",IF(8&lt;=COUNT($C$19:$C$48),INDEX($D$19:$D$48,8),INDEX($D$19:$D$48,1)))</f>
        <v/>
      </c>
    </row>
    <row r="27">
      <c r="A27" s="33" t="n"/>
      <c r="B27" s="13" t="n"/>
      <c r="C27" s="34" t="n"/>
      <c r="D27" s="34" t="n"/>
      <c r="E27" s="30">
        <f>IF(AND(ISNUMBER(C27),ISNUMBER(D27),9&lt;=COUNT($C$19:$C$48),COUNT($C$19:$C$48)&gt;=3),SQRT((INDEX($C$19:$C$48,IF(9&lt;COUNT($C$19:$C$48),10,1))-C27)^2+(INDEX($D$19:$D$48,IF(9&lt;COUNT($C$19:$C$48),10,1))-D27)^2)*INDEX($R$12:$R$13,MATCH($C$5,$Q$12:$Q$13,0)),"")</f>
        <v/>
      </c>
      <c r="F27" s="35">
        <f>IF(AND(ISNUMBER(C27),ISNUMBER(D27),9&lt;=COUNT($C$19:$C$48),COUNT($C$19:$C$48)&gt;=3),MOD(DEGREES(ATAN2(INDEX($D$19:$D$48,IF(9&lt;COUNT($C$19:$C$48),10,1))-D27,INDEX($C$19:$C$48,IF(9&lt;COUNT($C$19:$C$48),10,1))-C27)),360),"")</f>
        <v/>
      </c>
      <c r="G27" s="36">
        <f>IF(F27="","",INT(F27)&amp;"° "&amp;INT(MOD(F27,1)*60)&amp;"' "&amp;TEXT(MOD(MOD(F27,1)*60,1)*60,"00.0")&amp;CHAR(34))</f>
        <v/>
      </c>
      <c r="H27" s="31">
        <f>IF(F27="","",IF((SUM($J$19:$J$48)&lt;0),MOD(INDEX($K$19:$K$48,IF(9=1,COUNT($C$19:$C$48),8))-F27,360),360-MOD(INDEX($K$19:$K$48,IF(9=1,COUNT($C$19:$C$48),8))-F27,360)))</f>
        <v/>
      </c>
      <c r="J27" s="30">
        <f>IF(AND(ISNUMBER(C27),ISNUMBER(D27),9&lt;=COUNT($C$19:$C$48),COUNT($C$19:$C$48)&gt;=3),C27*INDEX($D$19:$D$48,IF(9&lt;COUNT($C$19:$C$48),10,1))-INDEX($C$19:$C$48,IF(9&lt;COUNT($C$19:$C$48),10,1))*D27,"")</f>
        <v/>
      </c>
      <c r="K27" s="35">
        <f>IF(F27="","",MOD(F27+180,360))</f>
        <v/>
      </c>
      <c r="L27" s="26">
        <f>IF(J27="","",(C27+INDEX($C$19:$C$48,IF(9&lt;COUNT($C$19:$C$48),10,1)))*J27)</f>
        <v/>
      </c>
      <c r="M27" s="26">
        <f>IF(J27="","",(D27+INDEX($D$19:$D$48,IF(9&lt;COUNT($C$19:$C$48),10,1)))*J27)</f>
        <v/>
      </c>
      <c r="N27" s="37">
        <f>IF(COUNT($C$19:$C$48)&lt;3,"",IF(9&lt;=COUNT($C$19:$C$48),INDEX($C$19:$C$48,9),INDEX($C$19:$C$48,1)))</f>
        <v/>
      </c>
      <c r="O27" s="37">
        <f>IF(COUNT($C$19:$C$48)&lt;3,"",IF(9&lt;=COUNT($C$19:$C$48),INDEX($D$19:$D$48,9),INDEX($D$19:$D$48,1)))</f>
        <v/>
      </c>
    </row>
    <row r="28">
      <c r="A28" s="33" t="n"/>
      <c r="B28" s="13" t="n"/>
      <c r="C28" s="34" t="n"/>
      <c r="D28" s="34" t="n"/>
      <c r="E28" s="30">
        <f>IF(AND(ISNUMBER(C28),ISNUMBER(D28),10&lt;=COUNT($C$19:$C$48),COUNT($C$19:$C$48)&gt;=3),SQRT((INDEX($C$19:$C$48,IF(10&lt;COUNT($C$19:$C$48),11,1))-C28)^2+(INDEX($D$19:$D$48,IF(10&lt;COUNT($C$19:$C$48),11,1))-D28)^2)*INDEX($R$12:$R$13,MATCH($C$5,$Q$12:$Q$13,0)),"")</f>
        <v/>
      </c>
      <c r="F28" s="35">
        <f>IF(AND(ISNUMBER(C28),ISNUMBER(D28),10&lt;=COUNT($C$19:$C$48),COUNT($C$19:$C$48)&gt;=3),MOD(DEGREES(ATAN2(INDEX($D$19:$D$48,IF(10&lt;COUNT($C$19:$C$48),11,1))-D28,INDEX($C$19:$C$48,IF(10&lt;COUNT($C$19:$C$48),11,1))-C28)),360),"")</f>
        <v/>
      </c>
      <c r="G28" s="36">
        <f>IF(F28="","",INT(F28)&amp;"° "&amp;INT(MOD(F28,1)*60)&amp;"' "&amp;TEXT(MOD(MOD(F28,1)*60,1)*60,"00.0")&amp;CHAR(34))</f>
        <v/>
      </c>
      <c r="H28" s="31">
        <f>IF(F28="","",IF((SUM($J$19:$J$48)&lt;0),MOD(INDEX($K$19:$K$48,IF(10=1,COUNT($C$19:$C$48),9))-F28,360),360-MOD(INDEX($K$19:$K$48,IF(10=1,COUNT($C$19:$C$48),9))-F28,360)))</f>
        <v/>
      </c>
      <c r="J28" s="30">
        <f>IF(AND(ISNUMBER(C28),ISNUMBER(D28),10&lt;=COUNT($C$19:$C$48),COUNT($C$19:$C$48)&gt;=3),C28*INDEX($D$19:$D$48,IF(10&lt;COUNT($C$19:$C$48),11,1))-INDEX($C$19:$C$48,IF(10&lt;COUNT($C$19:$C$48),11,1))*D28,"")</f>
        <v/>
      </c>
      <c r="K28" s="35">
        <f>IF(F28="","",MOD(F28+180,360))</f>
        <v/>
      </c>
      <c r="L28" s="26">
        <f>IF(J28="","",(C28+INDEX($C$19:$C$48,IF(10&lt;COUNT($C$19:$C$48),11,1)))*J28)</f>
        <v/>
      </c>
      <c r="M28" s="26">
        <f>IF(J28="","",(D28+INDEX($D$19:$D$48,IF(10&lt;COUNT($C$19:$C$48),11,1)))*J28)</f>
        <v/>
      </c>
      <c r="N28" s="37">
        <f>IF(COUNT($C$19:$C$48)&lt;3,"",IF(10&lt;=COUNT($C$19:$C$48),INDEX($C$19:$C$48,10),INDEX($C$19:$C$48,1)))</f>
        <v/>
      </c>
      <c r="O28" s="37">
        <f>IF(COUNT($C$19:$C$48)&lt;3,"",IF(10&lt;=COUNT($C$19:$C$48),INDEX($D$19:$D$48,10),INDEX($D$19:$D$48,1)))</f>
        <v/>
      </c>
    </row>
    <row r="29">
      <c r="A29" s="33" t="n"/>
      <c r="B29" s="13" t="n"/>
      <c r="C29" s="34" t="n"/>
      <c r="D29" s="34" t="n"/>
      <c r="E29" s="30">
        <f>IF(AND(ISNUMBER(C29),ISNUMBER(D29),11&lt;=COUNT($C$19:$C$48),COUNT($C$19:$C$48)&gt;=3),SQRT((INDEX($C$19:$C$48,IF(11&lt;COUNT($C$19:$C$48),12,1))-C29)^2+(INDEX($D$19:$D$48,IF(11&lt;COUNT($C$19:$C$48),12,1))-D29)^2)*INDEX($R$12:$R$13,MATCH($C$5,$Q$12:$Q$13,0)),"")</f>
        <v/>
      </c>
      <c r="F29" s="35">
        <f>IF(AND(ISNUMBER(C29),ISNUMBER(D29),11&lt;=COUNT($C$19:$C$48),COUNT($C$19:$C$48)&gt;=3),MOD(DEGREES(ATAN2(INDEX($D$19:$D$48,IF(11&lt;COUNT($C$19:$C$48),12,1))-D29,INDEX($C$19:$C$48,IF(11&lt;COUNT($C$19:$C$48),12,1))-C29)),360),"")</f>
        <v/>
      </c>
      <c r="G29" s="36">
        <f>IF(F29="","",INT(F29)&amp;"° "&amp;INT(MOD(F29,1)*60)&amp;"' "&amp;TEXT(MOD(MOD(F29,1)*60,1)*60,"00.0")&amp;CHAR(34))</f>
        <v/>
      </c>
      <c r="H29" s="31">
        <f>IF(F29="","",IF((SUM($J$19:$J$48)&lt;0),MOD(INDEX($K$19:$K$48,IF(11=1,COUNT($C$19:$C$48),10))-F29,360),360-MOD(INDEX($K$19:$K$48,IF(11=1,COUNT($C$19:$C$48),10))-F29,360)))</f>
        <v/>
      </c>
      <c r="J29" s="30">
        <f>IF(AND(ISNUMBER(C29),ISNUMBER(D29),11&lt;=COUNT($C$19:$C$48),COUNT($C$19:$C$48)&gt;=3),C29*INDEX($D$19:$D$48,IF(11&lt;COUNT($C$19:$C$48),12,1))-INDEX($C$19:$C$48,IF(11&lt;COUNT($C$19:$C$48),12,1))*D29,"")</f>
        <v/>
      </c>
      <c r="K29" s="35">
        <f>IF(F29="","",MOD(F29+180,360))</f>
        <v/>
      </c>
      <c r="L29" s="26">
        <f>IF(J29="","",(C29+INDEX($C$19:$C$48,IF(11&lt;COUNT($C$19:$C$48),12,1)))*J29)</f>
        <v/>
      </c>
      <c r="M29" s="26">
        <f>IF(J29="","",(D29+INDEX($D$19:$D$48,IF(11&lt;COUNT($C$19:$C$48),12,1)))*J29)</f>
        <v/>
      </c>
      <c r="N29" s="37">
        <f>IF(COUNT($C$19:$C$48)&lt;3,"",IF(11&lt;=COUNT($C$19:$C$48),INDEX($C$19:$C$48,11),INDEX($C$19:$C$48,1)))</f>
        <v/>
      </c>
      <c r="O29" s="37">
        <f>IF(COUNT($C$19:$C$48)&lt;3,"",IF(11&lt;=COUNT($C$19:$C$48),INDEX($D$19:$D$48,11),INDEX($D$19:$D$48,1)))</f>
        <v/>
      </c>
    </row>
    <row r="30">
      <c r="A30" s="33" t="n"/>
      <c r="B30" s="13" t="n"/>
      <c r="C30" s="34" t="n"/>
      <c r="D30" s="34" t="n"/>
      <c r="E30" s="30">
        <f>IF(AND(ISNUMBER(C30),ISNUMBER(D30),12&lt;=COUNT($C$19:$C$48),COUNT($C$19:$C$48)&gt;=3),SQRT((INDEX($C$19:$C$48,IF(12&lt;COUNT($C$19:$C$48),13,1))-C30)^2+(INDEX($D$19:$D$48,IF(12&lt;COUNT($C$19:$C$48),13,1))-D30)^2)*INDEX($R$12:$R$13,MATCH($C$5,$Q$12:$Q$13,0)),"")</f>
        <v/>
      </c>
      <c r="F30" s="35">
        <f>IF(AND(ISNUMBER(C30),ISNUMBER(D30),12&lt;=COUNT($C$19:$C$48),COUNT($C$19:$C$48)&gt;=3),MOD(DEGREES(ATAN2(INDEX($D$19:$D$48,IF(12&lt;COUNT($C$19:$C$48),13,1))-D30,INDEX($C$19:$C$48,IF(12&lt;COUNT($C$19:$C$48),13,1))-C30)),360),"")</f>
        <v/>
      </c>
      <c r="G30" s="36">
        <f>IF(F30="","",INT(F30)&amp;"° "&amp;INT(MOD(F30,1)*60)&amp;"' "&amp;TEXT(MOD(MOD(F30,1)*60,1)*60,"00.0")&amp;CHAR(34))</f>
        <v/>
      </c>
      <c r="H30" s="31">
        <f>IF(F30="","",IF((SUM($J$19:$J$48)&lt;0),MOD(INDEX($K$19:$K$48,IF(12=1,COUNT($C$19:$C$48),11))-F30,360),360-MOD(INDEX($K$19:$K$48,IF(12=1,COUNT($C$19:$C$48),11))-F30,360)))</f>
        <v/>
      </c>
      <c r="J30" s="30">
        <f>IF(AND(ISNUMBER(C30),ISNUMBER(D30),12&lt;=COUNT($C$19:$C$48),COUNT($C$19:$C$48)&gt;=3),C30*INDEX($D$19:$D$48,IF(12&lt;COUNT($C$19:$C$48),13,1))-INDEX($C$19:$C$48,IF(12&lt;COUNT($C$19:$C$48),13,1))*D30,"")</f>
        <v/>
      </c>
      <c r="K30" s="35">
        <f>IF(F30="","",MOD(F30+180,360))</f>
        <v/>
      </c>
      <c r="L30" s="26">
        <f>IF(J30="","",(C30+INDEX($C$19:$C$48,IF(12&lt;COUNT($C$19:$C$48),13,1)))*J30)</f>
        <v/>
      </c>
      <c r="M30" s="26">
        <f>IF(J30="","",(D30+INDEX($D$19:$D$48,IF(12&lt;COUNT($C$19:$C$48),13,1)))*J30)</f>
        <v/>
      </c>
      <c r="N30" s="37">
        <f>IF(COUNT($C$19:$C$48)&lt;3,"",IF(12&lt;=COUNT($C$19:$C$48),INDEX($C$19:$C$48,12),INDEX($C$19:$C$48,1)))</f>
        <v/>
      </c>
      <c r="O30" s="37">
        <f>IF(COUNT($C$19:$C$48)&lt;3,"",IF(12&lt;=COUNT($C$19:$C$48),INDEX($D$19:$D$48,12),INDEX($D$19:$D$48,1)))</f>
        <v/>
      </c>
    </row>
    <row r="31">
      <c r="A31" s="33" t="n"/>
      <c r="B31" s="13" t="n"/>
      <c r="C31" s="34" t="n"/>
      <c r="D31" s="34" t="n"/>
      <c r="E31" s="30">
        <f>IF(AND(ISNUMBER(C31),ISNUMBER(D31),13&lt;=COUNT($C$19:$C$48),COUNT($C$19:$C$48)&gt;=3),SQRT((INDEX($C$19:$C$48,IF(13&lt;COUNT($C$19:$C$48),14,1))-C31)^2+(INDEX($D$19:$D$48,IF(13&lt;COUNT($C$19:$C$48),14,1))-D31)^2)*INDEX($R$12:$R$13,MATCH($C$5,$Q$12:$Q$13,0)),"")</f>
        <v/>
      </c>
      <c r="F31" s="35">
        <f>IF(AND(ISNUMBER(C31),ISNUMBER(D31),13&lt;=COUNT($C$19:$C$48),COUNT($C$19:$C$48)&gt;=3),MOD(DEGREES(ATAN2(INDEX($D$19:$D$48,IF(13&lt;COUNT($C$19:$C$48),14,1))-D31,INDEX($C$19:$C$48,IF(13&lt;COUNT($C$19:$C$48),14,1))-C31)),360),"")</f>
        <v/>
      </c>
      <c r="G31" s="36">
        <f>IF(F31="","",INT(F31)&amp;"° "&amp;INT(MOD(F31,1)*60)&amp;"' "&amp;TEXT(MOD(MOD(F31,1)*60,1)*60,"00.0")&amp;CHAR(34))</f>
        <v/>
      </c>
      <c r="H31" s="31">
        <f>IF(F31="","",IF((SUM($J$19:$J$48)&lt;0),MOD(INDEX($K$19:$K$48,IF(13=1,COUNT($C$19:$C$48),12))-F31,360),360-MOD(INDEX($K$19:$K$48,IF(13=1,COUNT($C$19:$C$48),12))-F31,360)))</f>
        <v/>
      </c>
      <c r="J31" s="30">
        <f>IF(AND(ISNUMBER(C31),ISNUMBER(D31),13&lt;=COUNT($C$19:$C$48),COUNT($C$19:$C$48)&gt;=3),C31*INDEX($D$19:$D$48,IF(13&lt;COUNT($C$19:$C$48),14,1))-INDEX($C$19:$C$48,IF(13&lt;COUNT($C$19:$C$48),14,1))*D31,"")</f>
        <v/>
      </c>
      <c r="K31" s="35">
        <f>IF(F31="","",MOD(F31+180,360))</f>
        <v/>
      </c>
      <c r="L31" s="26">
        <f>IF(J31="","",(C31+INDEX($C$19:$C$48,IF(13&lt;COUNT($C$19:$C$48),14,1)))*J31)</f>
        <v/>
      </c>
      <c r="M31" s="26">
        <f>IF(J31="","",(D31+INDEX($D$19:$D$48,IF(13&lt;COUNT($C$19:$C$48),14,1)))*J31)</f>
        <v/>
      </c>
      <c r="N31" s="37">
        <f>IF(COUNT($C$19:$C$48)&lt;3,"",IF(13&lt;=COUNT($C$19:$C$48),INDEX($C$19:$C$48,13),INDEX($C$19:$C$48,1)))</f>
        <v/>
      </c>
      <c r="O31" s="37">
        <f>IF(COUNT($C$19:$C$48)&lt;3,"",IF(13&lt;=COUNT($C$19:$C$48),INDEX($D$19:$D$48,13),INDEX($D$19:$D$48,1)))</f>
        <v/>
      </c>
    </row>
    <row r="32">
      <c r="A32" s="33" t="n"/>
      <c r="B32" s="13" t="n"/>
      <c r="C32" s="34" t="n"/>
      <c r="D32" s="34" t="n"/>
      <c r="E32" s="30">
        <f>IF(AND(ISNUMBER(C32),ISNUMBER(D32),14&lt;=COUNT($C$19:$C$48),COUNT($C$19:$C$48)&gt;=3),SQRT((INDEX($C$19:$C$48,IF(14&lt;COUNT($C$19:$C$48),15,1))-C32)^2+(INDEX($D$19:$D$48,IF(14&lt;COUNT($C$19:$C$48),15,1))-D32)^2)*INDEX($R$12:$R$13,MATCH($C$5,$Q$12:$Q$13,0)),"")</f>
        <v/>
      </c>
      <c r="F32" s="35">
        <f>IF(AND(ISNUMBER(C32),ISNUMBER(D32),14&lt;=COUNT($C$19:$C$48),COUNT($C$19:$C$48)&gt;=3),MOD(DEGREES(ATAN2(INDEX($D$19:$D$48,IF(14&lt;COUNT($C$19:$C$48),15,1))-D32,INDEX($C$19:$C$48,IF(14&lt;COUNT($C$19:$C$48),15,1))-C32)),360),"")</f>
        <v/>
      </c>
      <c r="G32" s="36">
        <f>IF(F32="","",INT(F32)&amp;"° "&amp;INT(MOD(F32,1)*60)&amp;"' "&amp;TEXT(MOD(MOD(F32,1)*60,1)*60,"00.0")&amp;CHAR(34))</f>
        <v/>
      </c>
      <c r="H32" s="31">
        <f>IF(F32="","",IF((SUM($J$19:$J$48)&lt;0),MOD(INDEX($K$19:$K$48,IF(14=1,COUNT($C$19:$C$48),13))-F32,360),360-MOD(INDEX($K$19:$K$48,IF(14=1,COUNT($C$19:$C$48),13))-F32,360)))</f>
        <v/>
      </c>
      <c r="J32" s="30">
        <f>IF(AND(ISNUMBER(C32),ISNUMBER(D32),14&lt;=COUNT($C$19:$C$48),COUNT($C$19:$C$48)&gt;=3),C32*INDEX($D$19:$D$48,IF(14&lt;COUNT($C$19:$C$48),15,1))-INDEX($C$19:$C$48,IF(14&lt;COUNT($C$19:$C$48),15,1))*D32,"")</f>
        <v/>
      </c>
      <c r="K32" s="35">
        <f>IF(F32="","",MOD(F32+180,360))</f>
        <v/>
      </c>
      <c r="L32" s="26">
        <f>IF(J32="","",(C32+INDEX($C$19:$C$48,IF(14&lt;COUNT($C$19:$C$48),15,1)))*J32)</f>
        <v/>
      </c>
      <c r="M32" s="26">
        <f>IF(J32="","",(D32+INDEX($D$19:$D$48,IF(14&lt;COUNT($C$19:$C$48),15,1)))*J32)</f>
        <v/>
      </c>
      <c r="N32" s="37">
        <f>IF(COUNT($C$19:$C$48)&lt;3,"",IF(14&lt;=COUNT($C$19:$C$48),INDEX($C$19:$C$48,14),INDEX($C$19:$C$48,1)))</f>
        <v/>
      </c>
      <c r="O32" s="37">
        <f>IF(COUNT($C$19:$C$48)&lt;3,"",IF(14&lt;=COUNT($C$19:$C$48),INDEX($D$19:$D$48,14),INDEX($D$19:$D$48,1)))</f>
        <v/>
      </c>
    </row>
    <row r="33">
      <c r="A33" s="33" t="n"/>
      <c r="B33" s="13" t="n"/>
      <c r="C33" s="34" t="n"/>
      <c r="D33" s="34" t="n"/>
      <c r="E33" s="30">
        <f>IF(AND(ISNUMBER(C33),ISNUMBER(D33),15&lt;=COUNT($C$19:$C$48),COUNT($C$19:$C$48)&gt;=3),SQRT((INDEX($C$19:$C$48,IF(15&lt;COUNT($C$19:$C$48),16,1))-C33)^2+(INDEX($D$19:$D$48,IF(15&lt;COUNT($C$19:$C$48),16,1))-D33)^2)*INDEX($R$12:$R$13,MATCH($C$5,$Q$12:$Q$13,0)),"")</f>
        <v/>
      </c>
      <c r="F33" s="35">
        <f>IF(AND(ISNUMBER(C33),ISNUMBER(D33),15&lt;=COUNT($C$19:$C$48),COUNT($C$19:$C$48)&gt;=3),MOD(DEGREES(ATAN2(INDEX($D$19:$D$48,IF(15&lt;COUNT($C$19:$C$48),16,1))-D33,INDEX($C$19:$C$48,IF(15&lt;COUNT($C$19:$C$48),16,1))-C33)),360),"")</f>
        <v/>
      </c>
      <c r="G33" s="36">
        <f>IF(F33="","",INT(F33)&amp;"° "&amp;INT(MOD(F33,1)*60)&amp;"' "&amp;TEXT(MOD(MOD(F33,1)*60,1)*60,"00.0")&amp;CHAR(34))</f>
        <v/>
      </c>
      <c r="H33" s="31">
        <f>IF(F33="","",IF((SUM($J$19:$J$48)&lt;0),MOD(INDEX($K$19:$K$48,IF(15=1,COUNT($C$19:$C$48),14))-F33,360),360-MOD(INDEX($K$19:$K$48,IF(15=1,COUNT($C$19:$C$48),14))-F33,360)))</f>
        <v/>
      </c>
      <c r="J33" s="30">
        <f>IF(AND(ISNUMBER(C33),ISNUMBER(D33),15&lt;=COUNT($C$19:$C$48),COUNT($C$19:$C$48)&gt;=3),C33*INDEX($D$19:$D$48,IF(15&lt;COUNT($C$19:$C$48),16,1))-INDEX($C$19:$C$48,IF(15&lt;COUNT($C$19:$C$48),16,1))*D33,"")</f>
        <v/>
      </c>
      <c r="K33" s="35">
        <f>IF(F33="","",MOD(F33+180,360))</f>
        <v/>
      </c>
      <c r="L33" s="26">
        <f>IF(J33="","",(C33+INDEX($C$19:$C$48,IF(15&lt;COUNT($C$19:$C$48),16,1)))*J33)</f>
        <v/>
      </c>
      <c r="M33" s="26">
        <f>IF(J33="","",(D33+INDEX($D$19:$D$48,IF(15&lt;COUNT($C$19:$C$48),16,1)))*J33)</f>
        <v/>
      </c>
      <c r="N33" s="37">
        <f>IF(COUNT($C$19:$C$48)&lt;3,"",IF(15&lt;=COUNT($C$19:$C$48),INDEX($C$19:$C$48,15),INDEX($C$19:$C$48,1)))</f>
        <v/>
      </c>
      <c r="O33" s="37">
        <f>IF(COUNT($C$19:$C$48)&lt;3,"",IF(15&lt;=COUNT($C$19:$C$48),INDEX($D$19:$D$48,15),INDEX($D$19:$D$48,1)))</f>
        <v/>
      </c>
    </row>
    <row r="34">
      <c r="A34" s="33" t="n"/>
      <c r="B34" s="13" t="n"/>
      <c r="C34" s="34" t="n"/>
      <c r="D34" s="34" t="n"/>
      <c r="E34" s="30">
        <f>IF(AND(ISNUMBER(C34),ISNUMBER(D34),16&lt;=COUNT($C$19:$C$48),COUNT($C$19:$C$48)&gt;=3),SQRT((INDEX($C$19:$C$48,IF(16&lt;COUNT($C$19:$C$48),17,1))-C34)^2+(INDEX($D$19:$D$48,IF(16&lt;COUNT($C$19:$C$48),17,1))-D34)^2)*INDEX($R$12:$R$13,MATCH($C$5,$Q$12:$Q$13,0)),"")</f>
        <v/>
      </c>
      <c r="F34" s="35">
        <f>IF(AND(ISNUMBER(C34),ISNUMBER(D34),16&lt;=COUNT($C$19:$C$48),COUNT($C$19:$C$48)&gt;=3),MOD(DEGREES(ATAN2(INDEX($D$19:$D$48,IF(16&lt;COUNT($C$19:$C$48),17,1))-D34,INDEX($C$19:$C$48,IF(16&lt;COUNT($C$19:$C$48),17,1))-C34)),360),"")</f>
        <v/>
      </c>
      <c r="G34" s="36">
        <f>IF(F34="","",INT(F34)&amp;"° "&amp;INT(MOD(F34,1)*60)&amp;"' "&amp;TEXT(MOD(MOD(F34,1)*60,1)*60,"00.0")&amp;CHAR(34))</f>
        <v/>
      </c>
      <c r="H34" s="31">
        <f>IF(F34="","",IF((SUM($J$19:$J$48)&lt;0),MOD(INDEX($K$19:$K$48,IF(16=1,COUNT($C$19:$C$48),15))-F34,360),360-MOD(INDEX($K$19:$K$48,IF(16=1,COUNT($C$19:$C$48),15))-F34,360)))</f>
        <v/>
      </c>
      <c r="J34" s="30">
        <f>IF(AND(ISNUMBER(C34),ISNUMBER(D34),16&lt;=COUNT($C$19:$C$48),COUNT($C$19:$C$48)&gt;=3),C34*INDEX($D$19:$D$48,IF(16&lt;COUNT($C$19:$C$48),17,1))-INDEX($C$19:$C$48,IF(16&lt;COUNT($C$19:$C$48),17,1))*D34,"")</f>
        <v/>
      </c>
      <c r="K34" s="35">
        <f>IF(F34="","",MOD(F34+180,360))</f>
        <v/>
      </c>
      <c r="L34" s="26">
        <f>IF(J34="","",(C34+INDEX($C$19:$C$48,IF(16&lt;COUNT($C$19:$C$48),17,1)))*J34)</f>
        <v/>
      </c>
      <c r="M34" s="26">
        <f>IF(J34="","",(D34+INDEX($D$19:$D$48,IF(16&lt;COUNT($C$19:$C$48),17,1)))*J34)</f>
        <v/>
      </c>
      <c r="N34" s="37">
        <f>IF(COUNT($C$19:$C$48)&lt;3,"",IF(16&lt;=COUNT($C$19:$C$48),INDEX($C$19:$C$48,16),INDEX($C$19:$C$48,1)))</f>
        <v/>
      </c>
      <c r="O34" s="37">
        <f>IF(COUNT($C$19:$C$48)&lt;3,"",IF(16&lt;=COUNT($C$19:$C$48),INDEX($D$19:$D$48,16),INDEX($D$19:$D$48,1)))</f>
        <v/>
      </c>
    </row>
    <row r="35">
      <c r="A35" s="33" t="n"/>
      <c r="B35" s="13" t="n"/>
      <c r="C35" s="34" t="n"/>
      <c r="D35" s="34" t="n"/>
      <c r="E35" s="30">
        <f>IF(AND(ISNUMBER(C35),ISNUMBER(D35),17&lt;=COUNT($C$19:$C$48),COUNT($C$19:$C$48)&gt;=3),SQRT((INDEX($C$19:$C$48,IF(17&lt;COUNT($C$19:$C$48),18,1))-C35)^2+(INDEX($D$19:$D$48,IF(17&lt;COUNT($C$19:$C$48),18,1))-D35)^2)*INDEX($R$12:$R$13,MATCH($C$5,$Q$12:$Q$13,0)),"")</f>
        <v/>
      </c>
      <c r="F35" s="35">
        <f>IF(AND(ISNUMBER(C35),ISNUMBER(D35),17&lt;=COUNT($C$19:$C$48),COUNT($C$19:$C$48)&gt;=3),MOD(DEGREES(ATAN2(INDEX($D$19:$D$48,IF(17&lt;COUNT($C$19:$C$48),18,1))-D35,INDEX($C$19:$C$48,IF(17&lt;COUNT($C$19:$C$48),18,1))-C35)),360),"")</f>
        <v/>
      </c>
      <c r="G35" s="36">
        <f>IF(F35="","",INT(F35)&amp;"° "&amp;INT(MOD(F35,1)*60)&amp;"' "&amp;TEXT(MOD(MOD(F35,1)*60,1)*60,"00.0")&amp;CHAR(34))</f>
        <v/>
      </c>
      <c r="H35" s="31">
        <f>IF(F35="","",IF((SUM($J$19:$J$48)&lt;0),MOD(INDEX($K$19:$K$48,IF(17=1,COUNT($C$19:$C$48),16))-F35,360),360-MOD(INDEX($K$19:$K$48,IF(17=1,COUNT($C$19:$C$48),16))-F35,360)))</f>
        <v/>
      </c>
      <c r="J35" s="30">
        <f>IF(AND(ISNUMBER(C35),ISNUMBER(D35),17&lt;=COUNT($C$19:$C$48),COUNT($C$19:$C$48)&gt;=3),C35*INDEX($D$19:$D$48,IF(17&lt;COUNT($C$19:$C$48),18,1))-INDEX($C$19:$C$48,IF(17&lt;COUNT($C$19:$C$48),18,1))*D35,"")</f>
        <v/>
      </c>
      <c r="K35" s="35">
        <f>IF(F35="","",MOD(F35+180,360))</f>
        <v/>
      </c>
      <c r="L35" s="26">
        <f>IF(J35="","",(C35+INDEX($C$19:$C$48,IF(17&lt;COUNT($C$19:$C$48),18,1)))*J35)</f>
        <v/>
      </c>
      <c r="M35" s="26">
        <f>IF(J35="","",(D35+INDEX($D$19:$D$48,IF(17&lt;COUNT($C$19:$C$48),18,1)))*J35)</f>
        <v/>
      </c>
      <c r="N35" s="37">
        <f>IF(COUNT($C$19:$C$48)&lt;3,"",IF(17&lt;=COUNT($C$19:$C$48),INDEX($C$19:$C$48,17),INDEX($C$19:$C$48,1)))</f>
        <v/>
      </c>
      <c r="O35" s="37">
        <f>IF(COUNT($C$19:$C$48)&lt;3,"",IF(17&lt;=COUNT($C$19:$C$48),INDEX($D$19:$D$48,17),INDEX($D$19:$D$48,1)))</f>
        <v/>
      </c>
    </row>
    <row r="36">
      <c r="A36" s="33" t="n"/>
      <c r="B36" s="13" t="n"/>
      <c r="C36" s="34" t="n"/>
      <c r="D36" s="34" t="n"/>
      <c r="E36" s="30">
        <f>IF(AND(ISNUMBER(C36),ISNUMBER(D36),18&lt;=COUNT($C$19:$C$48),COUNT($C$19:$C$48)&gt;=3),SQRT((INDEX($C$19:$C$48,IF(18&lt;COUNT($C$19:$C$48),19,1))-C36)^2+(INDEX($D$19:$D$48,IF(18&lt;COUNT($C$19:$C$48),19,1))-D36)^2)*INDEX($R$12:$R$13,MATCH($C$5,$Q$12:$Q$13,0)),"")</f>
        <v/>
      </c>
      <c r="F36" s="35">
        <f>IF(AND(ISNUMBER(C36),ISNUMBER(D36),18&lt;=COUNT($C$19:$C$48),COUNT($C$19:$C$48)&gt;=3),MOD(DEGREES(ATAN2(INDEX($D$19:$D$48,IF(18&lt;COUNT($C$19:$C$48),19,1))-D36,INDEX($C$19:$C$48,IF(18&lt;COUNT($C$19:$C$48),19,1))-C36)),360),"")</f>
        <v/>
      </c>
      <c r="G36" s="36">
        <f>IF(F36="","",INT(F36)&amp;"° "&amp;INT(MOD(F36,1)*60)&amp;"' "&amp;TEXT(MOD(MOD(F36,1)*60,1)*60,"00.0")&amp;CHAR(34))</f>
        <v/>
      </c>
      <c r="H36" s="31">
        <f>IF(F36="","",IF((SUM($J$19:$J$48)&lt;0),MOD(INDEX($K$19:$K$48,IF(18=1,COUNT($C$19:$C$48),17))-F36,360),360-MOD(INDEX($K$19:$K$48,IF(18=1,COUNT($C$19:$C$48),17))-F36,360)))</f>
        <v/>
      </c>
      <c r="J36" s="30">
        <f>IF(AND(ISNUMBER(C36),ISNUMBER(D36),18&lt;=COUNT($C$19:$C$48),COUNT($C$19:$C$48)&gt;=3),C36*INDEX($D$19:$D$48,IF(18&lt;COUNT($C$19:$C$48),19,1))-INDEX($C$19:$C$48,IF(18&lt;COUNT($C$19:$C$48),19,1))*D36,"")</f>
        <v/>
      </c>
      <c r="K36" s="35">
        <f>IF(F36="","",MOD(F36+180,360))</f>
        <v/>
      </c>
      <c r="L36" s="26">
        <f>IF(J36="","",(C36+INDEX($C$19:$C$48,IF(18&lt;COUNT($C$19:$C$48),19,1)))*J36)</f>
        <v/>
      </c>
      <c r="M36" s="26">
        <f>IF(J36="","",(D36+INDEX($D$19:$D$48,IF(18&lt;COUNT($C$19:$C$48),19,1)))*J36)</f>
        <v/>
      </c>
      <c r="N36" s="37">
        <f>IF(COUNT($C$19:$C$48)&lt;3,"",IF(18&lt;=COUNT($C$19:$C$48),INDEX($C$19:$C$48,18),INDEX($C$19:$C$48,1)))</f>
        <v/>
      </c>
      <c r="O36" s="37">
        <f>IF(COUNT($C$19:$C$48)&lt;3,"",IF(18&lt;=COUNT($C$19:$C$48),INDEX($D$19:$D$48,18),INDEX($D$19:$D$48,1)))</f>
        <v/>
      </c>
    </row>
    <row r="37">
      <c r="A37" s="33" t="n"/>
      <c r="B37" s="13" t="n"/>
      <c r="C37" s="34" t="n"/>
      <c r="D37" s="34" t="n"/>
      <c r="E37" s="30">
        <f>IF(AND(ISNUMBER(C37),ISNUMBER(D37),19&lt;=COUNT($C$19:$C$48),COUNT($C$19:$C$48)&gt;=3),SQRT((INDEX($C$19:$C$48,IF(19&lt;COUNT($C$19:$C$48),20,1))-C37)^2+(INDEX($D$19:$D$48,IF(19&lt;COUNT($C$19:$C$48),20,1))-D37)^2)*INDEX($R$12:$R$13,MATCH($C$5,$Q$12:$Q$13,0)),"")</f>
        <v/>
      </c>
      <c r="F37" s="35">
        <f>IF(AND(ISNUMBER(C37),ISNUMBER(D37),19&lt;=COUNT($C$19:$C$48),COUNT($C$19:$C$48)&gt;=3),MOD(DEGREES(ATAN2(INDEX($D$19:$D$48,IF(19&lt;COUNT($C$19:$C$48),20,1))-D37,INDEX($C$19:$C$48,IF(19&lt;COUNT($C$19:$C$48),20,1))-C37)),360),"")</f>
        <v/>
      </c>
      <c r="G37" s="36">
        <f>IF(F37="","",INT(F37)&amp;"° "&amp;INT(MOD(F37,1)*60)&amp;"' "&amp;TEXT(MOD(MOD(F37,1)*60,1)*60,"00.0")&amp;CHAR(34))</f>
        <v/>
      </c>
      <c r="H37" s="31">
        <f>IF(F37="","",IF((SUM($J$19:$J$48)&lt;0),MOD(INDEX($K$19:$K$48,IF(19=1,COUNT($C$19:$C$48),18))-F37,360),360-MOD(INDEX($K$19:$K$48,IF(19=1,COUNT($C$19:$C$48),18))-F37,360)))</f>
        <v/>
      </c>
      <c r="J37" s="30">
        <f>IF(AND(ISNUMBER(C37),ISNUMBER(D37),19&lt;=COUNT($C$19:$C$48),COUNT($C$19:$C$48)&gt;=3),C37*INDEX($D$19:$D$48,IF(19&lt;COUNT($C$19:$C$48),20,1))-INDEX($C$19:$C$48,IF(19&lt;COUNT($C$19:$C$48),20,1))*D37,"")</f>
        <v/>
      </c>
      <c r="K37" s="35">
        <f>IF(F37="","",MOD(F37+180,360))</f>
        <v/>
      </c>
      <c r="L37" s="26">
        <f>IF(J37="","",(C37+INDEX($C$19:$C$48,IF(19&lt;COUNT($C$19:$C$48),20,1)))*J37)</f>
        <v/>
      </c>
      <c r="M37" s="26">
        <f>IF(J37="","",(D37+INDEX($D$19:$D$48,IF(19&lt;COUNT($C$19:$C$48),20,1)))*J37)</f>
        <v/>
      </c>
      <c r="N37" s="37">
        <f>IF(COUNT($C$19:$C$48)&lt;3,"",IF(19&lt;=COUNT($C$19:$C$48),INDEX($C$19:$C$48,19),INDEX($C$19:$C$48,1)))</f>
        <v/>
      </c>
      <c r="O37" s="37">
        <f>IF(COUNT($C$19:$C$48)&lt;3,"",IF(19&lt;=COUNT($C$19:$C$48),INDEX($D$19:$D$48,19),INDEX($D$19:$D$48,1)))</f>
        <v/>
      </c>
    </row>
    <row r="38">
      <c r="A38" s="33" t="n"/>
      <c r="B38" s="13" t="n"/>
      <c r="C38" s="34" t="n"/>
      <c r="D38" s="34" t="n"/>
      <c r="E38" s="30">
        <f>IF(AND(ISNUMBER(C38),ISNUMBER(D38),20&lt;=COUNT($C$19:$C$48),COUNT($C$19:$C$48)&gt;=3),SQRT((INDEX($C$19:$C$48,IF(20&lt;COUNT($C$19:$C$48),21,1))-C38)^2+(INDEX($D$19:$D$48,IF(20&lt;COUNT($C$19:$C$48),21,1))-D38)^2)*INDEX($R$12:$R$13,MATCH($C$5,$Q$12:$Q$13,0)),"")</f>
        <v/>
      </c>
      <c r="F38" s="35">
        <f>IF(AND(ISNUMBER(C38),ISNUMBER(D38),20&lt;=COUNT($C$19:$C$48),COUNT($C$19:$C$48)&gt;=3),MOD(DEGREES(ATAN2(INDEX($D$19:$D$48,IF(20&lt;COUNT($C$19:$C$48),21,1))-D38,INDEX($C$19:$C$48,IF(20&lt;COUNT($C$19:$C$48),21,1))-C38)),360),"")</f>
        <v/>
      </c>
      <c r="G38" s="36">
        <f>IF(F38="","",INT(F38)&amp;"° "&amp;INT(MOD(F38,1)*60)&amp;"' "&amp;TEXT(MOD(MOD(F38,1)*60,1)*60,"00.0")&amp;CHAR(34))</f>
        <v/>
      </c>
      <c r="H38" s="31">
        <f>IF(F38="","",IF((SUM($J$19:$J$48)&lt;0),MOD(INDEX($K$19:$K$48,IF(20=1,COUNT($C$19:$C$48),19))-F38,360),360-MOD(INDEX($K$19:$K$48,IF(20=1,COUNT($C$19:$C$48),19))-F38,360)))</f>
        <v/>
      </c>
      <c r="J38" s="30">
        <f>IF(AND(ISNUMBER(C38),ISNUMBER(D38),20&lt;=COUNT($C$19:$C$48),COUNT($C$19:$C$48)&gt;=3),C38*INDEX($D$19:$D$48,IF(20&lt;COUNT($C$19:$C$48),21,1))-INDEX($C$19:$C$48,IF(20&lt;COUNT($C$19:$C$48),21,1))*D38,"")</f>
        <v/>
      </c>
      <c r="K38" s="35">
        <f>IF(F38="","",MOD(F38+180,360))</f>
        <v/>
      </c>
      <c r="L38" s="26">
        <f>IF(J38="","",(C38+INDEX($C$19:$C$48,IF(20&lt;COUNT($C$19:$C$48),21,1)))*J38)</f>
        <v/>
      </c>
      <c r="M38" s="26">
        <f>IF(J38="","",(D38+INDEX($D$19:$D$48,IF(20&lt;COUNT($C$19:$C$48),21,1)))*J38)</f>
        <v/>
      </c>
      <c r="N38" s="37">
        <f>IF(COUNT($C$19:$C$48)&lt;3,"",IF(20&lt;=COUNT($C$19:$C$48),INDEX($C$19:$C$48,20),INDEX($C$19:$C$48,1)))</f>
        <v/>
      </c>
      <c r="O38" s="37">
        <f>IF(COUNT($C$19:$C$48)&lt;3,"",IF(20&lt;=COUNT($C$19:$C$48),INDEX($D$19:$D$48,20),INDEX($D$19:$D$48,1)))</f>
        <v/>
      </c>
    </row>
    <row r="39">
      <c r="A39" s="33" t="n"/>
      <c r="B39" s="13" t="n"/>
      <c r="C39" s="34" t="n"/>
      <c r="D39" s="34" t="n"/>
      <c r="E39" s="30">
        <f>IF(AND(ISNUMBER(C39),ISNUMBER(D39),21&lt;=COUNT($C$19:$C$48),COUNT($C$19:$C$48)&gt;=3),SQRT((INDEX($C$19:$C$48,IF(21&lt;COUNT($C$19:$C$48),22,1))-C39)^2+(INDEX($D$19:$D$48,IF(21&lt;COUNT($C$19:$C$48),22,1))-D39)^2)*INDEX($R$12:$R$13,MATCH($C$5,$Q$12:$Q$13,0)),"")</f>
        <v/>
      </c>
      <c r="F39" s="35">
        <f>IF(AND(ISNUMBER(C39),ISNUMBER(D39),21&lt;=COUNT($C$19:$C$48),COUNT($C$19:$C$48)&gt;=3),MOD(DEGREES(ATAN2(INDEX($D$19:$D$48,IF(21&lt;COUNT($C$19:$C$48),22,1))-D39,INDEX($C$19:$C$48,IF(21&lt;COUNT($C$19:$C$48),22,1))-C39)),360),"")</f>
        <v/>
      </c>
      <c r="G39" s="36">
        <f>IF(F39="","",INT(F39)&amp;"° "&amp;INT(MOD(F39,1)*60)&amp;"' "&amp;TEXT(MOD(MOD(F39,1)*60,1)*60,"00.0")&amp;CHAR(34))</f>
        <v/>
      </c>
      <c r="H39" s="31">
        <f>IF(F39="","",IF((SUM($J$19:$J$48)&lt;0),MOD(INDEX($K$19:$K$48,IF(21=1,COUNT($C$19:$C$48),20))-F39,360),360-MOD(INDEX($K$19:$K$48,IF(21=1,COUNT($C$19:$C$48),20))-F39,360)))</f>
        <v/>
      </c>
      <c r="J39" s="30">
        <f>IF(AND(ISNUMBER(C39),ISNUMBER(D39),21&lt;=COUNT($C$19:$C$48),COUNT($C$19:$C$48)&gt;=3),C39*INDEX($D$19:$D$48,IF(21&lt;COUNT($C$19:$C$48),22,1))-INDEX($C$19:$C$48,IF(21&lt;COUNT($C$19:$C$48),22,1))*D39,"")</f>
        <v/>
      </c>
      <c r="K39" s="35">
        <f>IF(F39="","",MOD(F39+180,360))</f>
        <v/>
      </c>
      <c r="L39" s="26">
        <f>IF(J39="","",(C39+INDEX($C$19:$C$48,IF(21&lt;COUNT($C$19:$C$48),22,1)))*J39)</f>
        <v/>
      </c>
      <c r="M39" s="26">
        <f>IF(J39="","",(D39+INDEX($D$19:$D$48,IF(21&lt;COUNT($C$19:$C$48),22,1)))*J39)</f>
        <v/>
      </c>
      <c r="N39" s="37">
        <f>IF(COUNT($C$19:$C$48)&lt;3,"",IF(21&lt;=COUNT($C$19:$C$48),INDEX($C$19:$C$48,21),INDEX($C$19:$C$48,1)))</f>
        <v/>
      </c>
      <c r="O39" s="37">
        <f>IF(COUNT($C$19:$C$48)&lt;3,"",IF(21&lt;=COUNT($C$19:$C$48),INDEX($D$19:$D$48,21),INDEX($D$19:$D$48,1)))</f>
        <v/>
      </c>
    </row>
    <row r="40">
      <c r="A40" s="33" t="n"/>
      <c r="B40" s="13" t="n"/>
      <c r="C40" s="34" t="n"/>
      <c r="D40" s="34" t="n"/>
      <c r="E40" s="30">
        <f>IF(AND(ISNUMBER(C40),ISNUMBER(D40),22&lt;=COUNT($C$19:$C$48),COUNT($C$19:$C$48)&gt;=3),SQRT((INDEX($C$19:$C$48,IF(22&lt;COUNT($C$19:$C$48),23,1))-C40)^2+(INDEX($D$19:$D$48,IF(22&lt;COUNT($C$19:$C$48),23,1))-D40)^2)*INDEX($R$12:$R$13,MATCH($C$5,$Q$12:$Q$13,0)),"")</f>
        <v/>
      </c>
      <c r="F40" s="35">
        <f>IF(AND(ISNUMBER(C40),ISNUMBER(D40),22&lt;=COUNT($C$19:$C$48),COUNT($C$19:$C$48)&gt;=3),MOD(DEGREES(ATAN2(INDEX($D$19:$D$48,IF(22&lt;COUNT($C$19:$C$48),23,1))-D40,INDEX($C$19:$C$48,IF(22&lt;COUNT($C$19:$C$48),23,1))-C40)),360),"")</f>
        <v/>
      </c>
      <c r="G40" s="36">
        <f>IF(F40="","",INT(F40)&amp;"° "&amp;INT(MOD(F40,1)*60)&amp;"' "&amp;TEXT(MOD(MOD(F40,1)*60,1)*60,"00.0")&amp;CHAR(34))</f>
        <v/>
      </c>
      <c r="H40" s="31">
        <f>IF(F40="","",IF((SUM($J$19:$J$48)&lt;0),MOD(INDEX($K$19:$K$48,IF(22=1,COUNT($C$19:$C$48),21))-F40,360),360-MOD(INDEX($K$19:$K$48,IF(22=1,COUNT($C$19:$C$48),21))-F40,360)))</f>
        <v/>
      </c>
      <c r="J40" s="30">
        <f>IF(AND(ISNUMBER(C40),ISNUMBER(D40),22&lt;=COUNT($C$19:$C$48),COUNT($C$19:$C$48)&gt;=3),C40*INDEX($D$19:$D$48,IF(22&lt;COUNT($C$19:$C$48),23,1))-INDEX($C$19:$C$48,IF(22&lt;COUNT($C$19:$C$48),23,1))*D40,"")</f>
        <v/>
      </c>
      <c r="K40" s="35">
        <f>IF(F40="","",MOD(F40+180,360))</f>
        <v/>
      </c>
      <c r="L40" s="26">
        <f>IF(J40="","",(C40+INDEX($C$19:$C$48,IF(22&lt;COUNT($C$19:$C$48),23,1)))*J40)</f>
        <v/>
      </c>
      <c r="M40" s="26">
        <f>IF(J40="","",(D40+INDEX($D$19:$D$48,IF(22&lt;COUNT($C$19:$C$48),23,1)))*J40)</f>
        <v/>
      </c>
      <c r="N40" s="37">
        <f>IF(COUNT($C$19:$C$48)&lt;3,"",IF(22&lt;=COUNT($C$19:$C$48),INDEX($C$19:$C$48,22),INDEX($C$19:$C$48,1)))</f>
        <v/>
      </c>
      <c r="O40" s="37">
        <f>IF(COUNT($C$19:$C$48)&lt;3,"",IF(22&lt;=COUNT($C$19:$C$48),INDEX($D$19:$D$48,22),INDEX($D$19:$D$48,1)))</f>
        <v/>
      </c>
    </row>
    <row r="41">
      <c r="A41" s="33" t="n"/>
      <c r="B41" s="13" t="n"/>
      <c r="C41" s="34" t="n"/>
      <c r="D41" s="34" t="n"/>
      <c r="E41" s="30">
        <f>IF(AND(ISNUMBER(C41),ISNUMBER(D41),23&lt;=COUNT($C$19:$C$48),COUNT($C$19:$C$48)&gt;=3),SQRT((INDEX($C$19:$C$48,IF(23&lt;COUNT($C$19:$C$48),24,1))-C41)^2+(INDEX($D$19:$D$48,IF(23&lt;COUNT($C$19:$C$48),24,1))-D41)^2)*INDEX($R$12:$R$13,MATCH($C$5,$Q$12:$Q$13,0)),"")</f>
        <v/>
      </c>
      <c r="F41" s="35">
        <f>IF(AND(ISNUMBER(C41),ISNUMBER(D41),23&lt;=COUNT($C$19:$C$48),COUNT($C$19:$C$48)&gt;=3),MOD(DEGREES(ATAN2(INDEX($D$19:$D$48,IF(23&lt;COUNT($C$19:$C$48),24,1))-D41,INDEX($C$19:$C$48,IF(23&lt;COUNT($C$19:$C$48),24,1))-C41)),360),"")</f>
        <v/>
      </c>
      <c r="G41" s="36">
        <f>IF(F41="","",INT(F41)&amp;"° "&amp;INT(MOD(F41,1)*60)&amp;"' "&amp;TEXT(MOD(MOD(F41,1)*60,1)*60,"00.0")&amp;CHAR(34))</f>
        <v/>
      </c>
      <c r="H41" s="31">
        <f>IF(F41="","",IF((SUM($J$19:$J$48)&lt;0),MOD(INDEX($K$19:$K$48,IF(23=1,COUNT($C$19:$C$48),22))-F41,360),360-MOD(INDEX($K$19:$K$48,IF(23=1,COUNT($C$19:$C$48),22))-F41,360)))</f>
        <v/>
      </c>
      <c r="J41" s="30">
        <f>IF(AND(ISNUMBER(C41),ISNUMBER(D41),23&lt;=COUNT($C$19:$C$48),COUNT($C$19:$C$48)&gt;=3),C41*INDEX($D$19:$D$48,IF(23&lt;COUNT($C$19:$C$48),24,1))-INDEX($C$19:$C$48,IF(23&lt;COUNT($C$19:$C$48),24,1))*D41,"")</f>
        <v/>
      </c>
      <c r="K41" s="35">
        <f>IF(F41="","",MOD(F41+180,360))</f>
        <v/>
      </c>
      <c r="L41" s="26">
        <f>IF(J41="","",(C41+INDEX($C$19:$C$48,IF(23&lt;COUNT($C$19:$C$48),24,1)))*J41)</f>
        <v/>
      </c>
      <c r="M41" s="26">
        <f>IF(J41="","",(D41+INDEX($D$19:$D$48,IF(23&lt;COUNT($C$19:$C$48),24,1)))*J41)</f>
        <v/>
      </c>
      <c r="N41" s="37">
        <f>IF(COUNT($C$19:$C$48)&lt;3,"",IF(23&lt;=COUNT($C$19:$C$48),INDEX($C$19:$C$48,23),INDEX($C$19:$C$48,1)))</f>
        <v/>
      </c>
      <c r="O41" s="37">
        <f>IF(COUNT($C$19:$C$48)&lt;3,"",IF(23&lt;=COUNT($C$19:$C$48),INDEX($D$19:$D$48,23),INDEX($D$19:$D$48,1)))</f>
        <v/>
      </c>
    </row>
    <row r="42">
      <c r="A42" s="33" t="n"/>
      <c r="B42" s="13" t="n"/>
      <c r="C42" s="34" t="n"/>
      <c r="D42" s="34" t="n"/>
      <c r="E42" s="30">
        <f>IF(AND(ISNUMBER(C42),ISNUMBER(D42),24&lt;=COUNT($C$19:$C$48),COUNT($C$19:$C$48)&gt;=3),SQRT((INDEX($C$19:$C$48,IF(24&lt;COUNT($C$19:$C$48),25,1))-C42)^2+(INDEX($D$19:$D$48,IF(24&lt;COUNT($C$19:$C$48),25,1))-D42)^2)*INDEX($R$12:$R$13,MATCH($C$5,$Q$12:$Q$13,0)),"")</f>
        <v/>
      </c>
      <c r="F42" s="35">
        <f>IF(AND(ISNUMBER(C42),ISNUMBER(D42),24&lt;=COUNT($C$19:$C$48),COUNT($C$19:$C$48)&gt;=3),MOD(DEGREES(ATAN2(INDEX($D$19:$D$48,IF(24&lt;COUNT($C$19:$C$48),25,1))-D42,INDEX($C$19:$C$48,IF(24&lt;COUNT($C$19:$C$48),25,1))-C42)),360),"")</f>
        <v/>
      </c>
      <c r="G42" s="36">
        <f>IF(F42="","",INT(F42)&amp;"° "&amp;INT(MOD(F42,1)*60)&amp;"' "&amp;TEXT(MOD(MOD(F42,1)*60,1)*60,"00.0")&amp;CHAR(34))</f>
        <v/>
      </c>
      <c r="H42" s="31">
        <f>IF(F42="","",IF((SUM($J$19:$J$48)&lt;0),MOD(INDEX($K$19:$K$48,IF(24=1,COUNT($C$19:$C$48),23))-F42,360),360-MOD(INDEX($K$19:$K$48,IF(24=1,COUNT($C$19:$C$48),23))-F42,360)))</f>
        <v/>
      </c>
      <c r="J42" s="30">
        <f>IF(AND(ISNUMBER(C42),ISNUMBER(D42),24&lt;=COUNT($C$19:$C$48),COUNT($C$19:$C$48)&gt;=3),C42*INDEX($D$19:$D$48,IF(24&lt;COUNT($C$19:$C$48),25,1))-INDEX($C$19:$C$48,IF(24&lt;COUNT($C$19:$C$48),25,1))*D42,"")</f>
        <v/>
      </c>
      <c r="K42" s="35">
        <f>IF(F42="","",MOD(F42+180,360))</f>
        <v/>
      </c>
      <c r="L42" s="26">
        <f>IF(J42="","",(C42+INDEX($C$19:$C$48,IF(24&lt;COUNT($C$19:$C$48),25,1)))*J42)</f>
        <v/>
      </c>
      <c r="M42" s="26">
        <f>IF(J42="","",(D42+INDEX($D$19:$D$48,IF(24&lt;COUNT($C$19:$C$48),25,1)))*J42)</f>
        <v/>
      </c>
      <c r="N42" s="37">
        <f>IF(COUNT($C$19:$C$48)&lt;3,"",IF(24&lt;=COUNT($C$19:$C$48),INDEX($C$19:$C$48,24),INDEX($C$19:$C$48,1)))</f>
        <v/>
      </c>
      <c r="O42" s="37">
        <f>IF(COUNT($C$19:$C$48)&lt;3,"",IF(24&lt;=COUNT($C$19:$C$48),INDEX($D$19:$D$48,24),INDEX($D$19:$D$48,1)))</f>
        <v/>
      </c>
    </row>
    <row r="43">
      <c r="A43" s="33" t="n"/>
      <c r="B43" s="13" t="n"/>
      <c r="C43" s="34" t="n"/>
      <c r="D43" s="34" t="n"/>
      <c r="E43" s="30">
        <f>IF(AND(ISNUMBER(C43),ISNUMBER(D43),25&lt;=COUNT($C$19:$C$48),COUNT($C$19:$C$48)&gt;=3),SQRT((INDEX($C$19:$C$48,IF(25&lt;COUNT($C$19:$C$48),26,1))-C43)^2+(INDEX($D$19:$D$48,IF(25&lt;COUNT($C$19:$C$48),26,1))-D43)^2)*INDEX($R$12:$R$13,MATCH($C$5,$Q$12:$Q$13,0)),"")</f>
        <v/>
      </c>
      <c r="F43" s="35">
        <f>IF(AND(ISNUMBER(C43),ISNUMBER(D43),25&lt;=COUNT($C$19:$C$48),COUNT($C$19:$C$48)&gt;=3),MOD(DEGREES(ATAN2(INDEX($D$19:$D$48,IF(25&lt;COUNT($C$19:$C$48),26,1))-D43,INDEX($C$19:$C$48,IF(25&lt;COUNT($C$19:$C$48),26,1))-C43)),360),"")</f>
        <v/>
      </c>
      <c r="G43" s="36">
        <f>IF(F43="","",INT(F43)&amp;"° "&amp;INT(MOD(F43,1)*60)&amp;"' "&amp;TEXT(MOD(MOD(F43,1)*60,1)*60,"00.0")&amp;CHAR(34))</f>
        <v/>
      </c>
      <c r="H43" s="31">
        <f>IF(F43="","",IF((SUM($J$19:$J$48)&lt;0),MOD(INDEX($K$19:$K$48,IF(25=1,COUNT($C$19:$C$48),24))-F43,360),360-MOD(INDEX($K$19:$K$48,IF(25=1,COUNT($C$19:$C$48),24))-F43,360)))</f>
        <v/>
      </c>
      <c r="J43" s="30">
        <f>IF(AND(ISNUMBER(C43),ISNUMBER(D43),25&lt;=COUNT($C$19:$C$48),COUNT($C$19:$C$48)&gt;=3),C43*INDEX($D$19:$D$48,IF(25&lt;COUNT($C$19:$C$48),26,1))-INDEX($C$19:$C$48,IF(25&lt;COUNT($C$19:$C$48),26,1))*D43,"")</f>
        <v/>
      </c>
      <c r="K43" s="35">
        <f>IF(F43="","",MOD(F43+180,360))</f>
        <v/>
      </c>
      <c r="L43" s="26">
        <f>IF(J43="","",(C43+INDEX($C$19:$C$48,IF(25&lt;COUNT($C$19:$C$48),26,1)))*J43)</f>
        <v/>
      </c>
      <c r="M43" s="26">
        <f>IF(J43="","",(D43+INDEX($D$19:$D$48,IF(25&lt;COUNT($C$19:$C$48),26,1)))*J43)</f>
        <v/>
      </c>
      <c r="N43" s="37">
        <f>IF(COUNT($C$19:$C$48)&lt;3,"",IF(25&lt;=COUNT($C$19:$C$48),INDEX($C$19:$C$48,25),INDEX($C$19:$C$48,1)))</f>
        <v/>
      </c>
      <c r="O43" s="37">
        <f>IF(COUNT($C$19:$C$48)&lt;3,"",IF(25&lt;=COUNT($C$19:$C$48),INDEX($D$19:$D$48,25),INDEX($D$19:$D$48,1)))</f>
        <v/>
      </c>
    </row>
    <row r="44">
      <c r="A44" s="33" t="n"/>
      <c r="B44" s="13" t="n"/>
      <c r="C44" s="34" t="n"/>
      <c r="D44" s="34" t="n"/>
      <c r="E44" s="30">
        <f>IF(AND(ISNUMBER(C44),ISNUMBER(D44),26&lt;=COUNT($C$19:$C$48),COUNT($C$19:$C$48)&gt;=3),SQRT((INDEX($C$19:$C$48,IF(26&lt;COUNT($C$19:$C$48),27,1))-C44)^2+(INDEX($D$19:$D$48,IF(26&lt;COUNT($C$19:$C$48),27,1))-D44)^2)*INDEX($R$12:$R$13,MATCH($C$5,$Q$12:$Q$13,0)),"")</f>
        <v/>
      </c>
      <c r="F44" s="35">
        <f>IF(AND(ISNUMBER(C44),ISNUMBER(D44),26&lt;=COUNT($C$19:$C$48),COUNT($C$19:$C$48)&gt;=3),MOD(DEGREES(ATAN2(INDEX($D$19:$D$48,IF(26&lt;COUNT($C$19:$C$48),27,1))-D44,INDEX($C$19:$C$48,IF(26&lt;COUNT($C$19:$C$48),27,1))-C44)),360),"")</f>
        <v/>
      </c>
      <c r="G44" s="36">
        <f>IF(F44="","",INT(F44)&amp;"° "&amp;INT(MOD(F44,1)*60)&amp;"' "&amp;TEXT(MOD(MOD(F44,1)*60,1)*60,"00.0")&amp;CHAR(34))</f>
        <v/>
      </c>
      <c r="H44" s="31">
        <f>IF(F44="","",IF((SUM($J$19:$J$48)&lt;0),MOD(INDEX($K$19:$K$48,IF(26=1,COUNT($C$19:$C$48),25))-F44,360),360-MOD(INDEX($K$19:$K$48,IF(26=1,COUNT($C$19:$C$48),25))-F44,360)))</f>
        <v/>
      </c>
      <c r="J44" s="30">
        <f>IF(AND(ISNUMBER(C44),ISNUMBER(D44),26&lt;=COUNT($C$19:$C$48),COUNT($C$19:$C$48)&gt;=3),C44*INDEX($D$19:$D$48,IF(26&lt;COUNT($C$19:$C$48),27,1))-INDEX($C$19:$C$48,IF(26&lt;COUNT($C$19:$C$48),27,1))*D44,"")</f>
        <v/>
      </c>
      <c r="K44" s="35">
        <f>IF(F44="","",MOD(F44+180,360))</f>
        <v/>
      </c>
      <c r="L44" s="26">
        <f>IF(J44="","",(C44+INDEX($C$19:$C$48,IF(26&lt;COUNT($C$19:$C$48),27,1)))*J44)</f>
        <v/>
      </c>
      <c r="M44" s="26">
        <f>IF(J44="","",(D44+INDEX($D$19:$D$48,IF(26&lt;COUNT($C$19:$C$48),27,1)))*J44)</f>
        <v/>
      </c>
      <c r="N44" s="37">
        <f>IF(COUNT($C$19:$C$48)&lt;3,"",IF(26&lt;=COUNT($C$19:$C$48),INDEX($C$19:$C$48,26),INDEX($C$19:$C$48,1)))</f>
        <v/>
      </c>
      <c r="O44" s="37">
        <f>IF(COUNT($C$19:$C$48)&lt;3,"",IF(26&lt;=COUNT($C$19:$C$48),INDEX($D$19:$D$48,26),INDEX($D$19:$D$48,1)))</f>
        <v/>
      </c>
    </row>
    <row r="45">
      <c r="A45" s="33" t="n"/>
      <c r="B45" s="13" t="n"/>
      <c r="C45" s="34" t="n"/>
      <c r="D45" s="34" t="n"/>
      <c r="E45" s="30">
        <f>IF(AND(ISNUMBER(C45),ISNUMBER(D45),27&lt;=COUNT($C$19:$C$48),COUNT($C$19:$C$48)&gt;=3),SQRT((INDEX($C$19:$C$48,IF(27&lt;COUNT($C$19:$C$48),28,1))-C45)^2+(INDEX($D$19:$D$48,IF(27&lt;COUNT($C$19:$C$48),28,1))-D45)^2)*INDEX($R$12:$R$13,MATCH($C$5,$Q$12:$Q$13,0)),"")</f>
        <v/>
      </c>
      <c r="F45" s="35">
        <f>IF(AND(ISNUMBER(C45),ISNUMBER(D45),27&lt;=COUNT($C$19:$C$48),COUNT($C$19:$C$48)&gt;=3),MOD(DEGREES(ATAN2(INDEX($D$19:$D$48,IF(27&lt;COUNT($C$19:$C$48),28,1))-D45,INDEX($C$19:$C$48,IF(27&lt;COUNT($C$19:$C$48),28,1))-C45)),360),"")</f>
        <v/>
      </c>
      <c r="G45" s="36">
        <f>IF(F45="","",INT(F45)&amp;"° "&amp;INT(MOD(F45,1)*60)&amp;"' "&amp;TEXT(MOD(MOD(F45,1)*60,1)*60,"00.0")&amp;CHAR(34))</f>
        <v/>
      </c>
      <c r="H45" s="31">
        <f>IF(F45="","",IF((SUM($J$19:$J$48)&lt;0),MOD(INDEX($K$19:$K$48,IF(27=1,COUNT($C$19:$C$48),26))-F45,360),360-MOD(INDEX($K$19:$K$48,IF(27=1,COUNT($C$19:$C$48),26))-F45,360)))</f>
        <v/>
      </c>
      <c r="J45" s="30">
        <f>IF(AND(ISNUMBER(C45),ISNUMBER(D45),27&lt;=COUNT($C$19:$C$48),COUNT($C$19:$C$48)&gt;=3),C45*INDEX($D$19:$D$48,IF(27&lt;COUNT($C$19:$C$48),28,1))-INDEX($C$19:$C$48,IF(27&lt;COUNT($C$19:$C$48),28,1))*D45,"")</f>
        <v/>
      </c>
      <c r="K45" s="35">
        <f>IF(F45="","",MOD(F45+180,360))</f>
        <v/>
      </c>
      <c r="L45" s="26">
        <f>IF(J45="","",(C45+INDEX($C$19:$C$48,IF(27&lt;COUNT($C$19:$C$48),28,1)))*J45)</f>
        <v/>
      </c>
      <c r="M45" s="26">
        <f>IF(J45="","",(D45+INDEX($D$19:$D$48,IF(27&lt;COUNT($C$19:$C$48),28,1)))*J45)</f>
        <v/>
      </c>
      <c r="N45" s="37">
        <f>IF(COUNT($C$19:$C$48)&lt;3,"",IF(27&lt;=COUNT($C$19:$C$48),INDEX($C$19:$C$48,27),INDEX($C$19:$C$48,1)))</f>
        <v/>
      </c>
      <c r="O45" s="37">
        <f>IF(COUNT($C$19:$C$48)&lt;3,"",IF(27&lt;=COUNT($C$19:$C$48),INDEX($D$19:$D$48,27),INDEX($D$19:$D$48,1)))</f>
        <v/>
      </c>
    </row>
    <row r="46">
      <c r="A46" s="33" t="n"/>
      <c r="B46" s="13" t="n"/>
      <c r="C46" s="34" t="n"/>
      <c r="D46" s="34" t="n"/>
      <c r="E46" s="30">
        <f>IF(AND(ISNUMBER(C46),ISNUMBER(D46),28&lt;=COUNT($C$19:$C$48),COUNT($C$19:$C$48)&gt;=3),SQRT((INDEX($C$19:$C$48,IF(28&lt;COUNT($C$19:$C$48),29,1))-C46)^2+(INDEX($D$19:$D$48,IF(28&lt;COUNT($C$19:$C$48),29,1))-D46)^2)*INDEX($R$12:$R$13,MATCH($C$5,$Q$12:$Q$13,0)),"")</f>
        <v/>
      </c>
      <c r="F46" s="35">
        <f>IF(AND(ISNUMBER(C46),ISNUMBER(D46),28&lt;=COUNT($C$19:$C$48),COUNT($C$19:$C$48)&gt;=3),MOD(DEGREES(ATAN2(INDEX($D$19:$D$48,IF(28&lt;COUNT($C$19:$C$48),29,1))-D46,INDEX($C$19:$C$48,IF(28&lt;COUNT($C$19:$C$48),29,1))-C46)),360),"")</f>
        <v/>
      </c>
      <c r="G46" s="36">
        <f>IF(F46="","",INT(F46)&amp;"° "&amp;INT(MOD(F46,1)*60)&amp;"' "&amp;TEXT(MOD(MOD(F46,1)*60,1)*60,"00.0")&amp;CHAR(34))</f>
        <v/>
      </c>
      <c r="H46" s="31">
        <f>IF(F46="","",IF((SUM($J$19:$J$48)&lt;0),MOD(INDEX($K$19:$K$48,IF(28=1,COUNT($C$19:$C$48),27))-F46,360),360-MOD(INDEX($K$19:$K$48,IF(28=1,COUNT($C$19:$C$48),27))-F46,360)))</f>
        <v/>
      </c>
      <c r="J46" s="30">
        <f>IF(AND(ISNUMBER(C46),ISNUMBER(D46),28&lt;=COUNT($C$19:$C$48),COUNT($C$19:$C$48)&gt;=3),C46*INDEX($D$19:$D$48,IF(28&lt;COUNT($C$19:$C$48),29,1))-INDEX($C$19:$C$48,IF(28&lt;COUNT($C$19:$C$48),29,1))*D46,"")</f>
        <v/>
      </c>
      <c r="K46" s="35">
        <f>IF(F46="","",MOD(F46+180,360))</f>
        <v/>
      </c>
      <c r="L46" s="26">
        <f>IF(J46="","",(C46+INDEX($C$19:$C$48,IF(28&lt;COUNT($C$19:$C$48),29,1)))*J46)</f>
        <v/>
      </c>
      <c r="M46" s="26">
        <f>IF(J46="","",(D46+INDEX($D$19:$D$48,IF(28&lt;COUNT($C$19:$C$48),29,1)))*J46)</f>
        <v/>
      </c>
      <c r="N46" s="37">
        <f>IF(COUNT($C$19:$C$48)&lt;3,"",IF(28&lt;=COUNT($C$19:$C$48),INDEX($C$19:$C$48,28),INDEX($C$19:$C$48,1)))</f>
        <v/>
      </c>
      <c r="O46" s="37">
        <f>IF(COUNT($C$19:$C$48)&lt;3,"",IF(28&lt;=COUNT($C$19:$C$48),INDEX($D$19:$D$48,28),INDEX($D$19:$D$48,1)))</f>
        <v/>
      </c>
    </row>
    <row r="47">
      <c r="A47" s="33" t="n"/>
      <c r="B47" s="13" t="n"/>
      <c r="C47" s="34" t="n"/>
      <c r="D47" s="34" t="n"/>
      <c r="E47" s="30">
        <f>IF(AND(ISNUMBER(C47),ISNUMBER(D47),29&lt;=COUNT($C$19:$C$48),COUNT($C$19:$C$48)&gt;=3),SQRT((INDEX($C$19:$C$48,IF(29&lt;COUNT($C$19:$C$48),30,1))-C47)^2+(INDEX($D$19:$D$48,IF(29&lt;COUNT($C$19:$C$48),30,1))-D47)^2)*INDEX($R$12:$R$13,MATCH($C$5,$Q$12:$Q$13,0)),"")</f>
        <v/>
      </c>
      <c r="F47" s="35">
        <f>IF(AND(ISNUMBER(C47),ISNUMBER(D47),29&lt;=COUNT($C$19:$C$48),COUNT($C$19:$C$48)&gt;=3),MOD(DEGREES(ATAN2(INDEX($D$19:$D$48,IF(29&lt;COUNT($C$19:$C$48),30,1))-D47,INDEX($C$19:$C$48,IF(29&lt;COUNT($C$19:$C$48),30,1))-C47)),360),"")</f>
        <v/>
      </c>
      <c r="G47" s="36">
        <f>IF(F47="","",INT(F47)&amp;"° "&amp;INT(MOD(F47,1)*60)&amp;"' "&amp;TEXT(MOD(MOD(F47,1)*60,1)*60,"00.0")&amp;CHAR(34))</f>
        <v/>
      </c>
      <c r="H47" s="31">
        <f>IF(F47="","",IF((SUM($J$19:$J$48)&lt;0),MOD(INDEX($K$19:$K$48,IF(29=1,COUNT($C$19:$C$48),28))-F47,360),360-MOD(INDEX($K$19:$K$48,IF(29=1,COUNT($C$19:$C$48),28))-F47,360)))</f>
        <v/>
      </c>
      <c r="J47" s="30">
        <f>IF(AND(ISNUMBER(C47),ISNUMBER(D47),29&lt;=COUNT($C$19:$C$48),COUNT($C$19:$C$48)&gt;=3),C47*INDEX($D$19:$D$48,IF(29&lt;COUNT($C$19:$C$48),30,1))-INDEX($C$19:$C$48,IF(29&lt;COUNT($C$19:$C$48),30,1))*D47,"")</f>
        <v/>
      </c>
      <c r="K47" s="35">
        <f>IF(F47="","",MOD(F47+180,360))</f>
        <v/>
      </c>
      <c r="L47" s="26">
        <f>IF(J47="","",(C47+INDEX($C$19:$C$48,IF(29&lt;COUNT($C$19:$C$48),30,1)))*J47)</f>
        <v/>
      </c>
      <c r="M47" s="26">
        <f>IF(J47="","",(D47+INDEX($D$19:$D$48,IF(29&lt;COUNT($C$19:$C$48),30,1)))*J47)</f>
        <v/>
      </c>
      <c r="N47" s="37">
        <f>IF(COUNT($C$19:$C$48)&lt;3,"",IF(29&lt;=COUNT($C$19:$C$48),INDEX($C$19:$C$48,29),INDEX($C$19:$C$48,1)))</f>
        <v/>
      </c>
      <c r="O47" s="37">
        <f>IF(COUNT($C$19:$C$48)&lt;3,"",IF(29&lt;=COUNT($C$19:$C$48),INDEX($D$19:$D$48,29),INDEX($D$19:$D$48,1)))</f>
        <v/>
      </c>
    </row>
    <row r="48">
      <c r="A48" s="33" t="n"/>
      <c r="B48" s="13" t="n"/>
      <c r="C48" s="34" t="n"/>
      <c r="D48" s="34" t="n"/>
      <c r="E48" s="30">
        <f>IF(AND(ISNUMBER(C48),ISNUMBER(D48),30&lt;=COUNT($C$19:$C$48),COUNT($C$19:$C$48)&gt;=3),SQRT((INDEX($C$19:$C$48,IF(30&lt;COUNT($C$19:$C$48),31,1))-C48)^2+(INDEX($D$19:$D$48,IF(30&lt;COUNT($C$19:$C$48),31,1))-D48)^2)*INDEX($R$12:$R$13,MATCH($C$5,$Q$12:$Q$13,0)),"")</f>
        <v/>
      </c>
      <c r="F48" s="35">
        <f>IF(AND(ISNUMBER(C48),ISNUMBER(D48),30&lt;=COUNT($C$19:$C$48),COUNT($C$19:$C$48)&gt;=3),MOD(DEGREES(ATAN2(INDEX($D$19:$D$48,IF(30&lt;COUNT($C$19:$C$48),31,1))-D48,INDEX($C$19:$C$48,IF(30&lt;COUNT($C$19:$C$48),31,1))-C48)),360),"")</f>
        <v/>
      </c>
      <c r="G48" s="36">
        <f>IF(F48="","",INT(F48)&amp;"° "&amp;INT(MOD(F48,1)*60)&amp;"' "&amp;TEXT(MOD(MOD(F48,1)*60,1)*60,"00.0")&amp;CHAR(34))</f>
        <v/>
      </c>
      <c r="H48" s="31">
        <f>IF(F48="","",IF((SUM($J$19:$J$48)&lt;0),MOD(INDEX($K$19:$K$48,IF(30=1,COUNT($C$19:$C$48),29))-F48,360),360-MOD(INDEX($K$19:$K$48,IF(30=1,COUNT($C$19:$C$48),29))-F48,360)))</f>
        <v/>
      </c>
      <c r="J48" s="30">
        <f>IF(AND(ISNUMBER(C48),ISNUMBER(D48),30&lt;=COUNT($C$19:$C$48),COUNT($C$19:$C$48)&gt;=3),C48*INDEX($D$19:$D$48,IF(30&lt;COUNT($C$19:$C$48),31,1))-INDEX($C$19:$C$48,IF(30&lt;COUNT($C$19:$C$48),31,1))*D48,"")</f>
        <v/>
      </c>
      <c r="K48" s="35">
        <f>IF(F48="","",MOD(F48+180,360))</f>
        <v/>
      </c>
      <c r="L48" s="26">
        <f>IF(J48="","",(C48+INDEX($C$19:$C$48,IF(30&lt;COUNT($C$19:$C$48),31,1)))*J48)</f>
        <v/>
      </c>
      <c r="M48" s="26">
        <f>IF(J48="","",(D48+INDEX($D$19:$D$48,IF(30&lt;COUNT($C$19:$C$48),31,1)))*J48)</f>
        <v/>
      </c>
      <c r="N48" s="37">
        <f>IF(COUNT($C$19:$C$48)&lt;3,"",IF(30&lt;=COUNT($C$19:$C$48),INDEX($C$19:$C$48,30),INDEX($C$19:$C$48,1)))</f>
        <v/>
      </c>
      <c r="O48" s="37">
        <f>IF(COUNT($C$19:$C$48)&lt;3,"",IF(30&lt;=COUNT($C$19:$C$48),INDEX($D$19:$D$48,30),INDEX($D$19:$D$48,1)))</f>
        <v/>
      </c>
    </row>
    <row r="49">
      <c r="N49" s="37">
        <f>IF(COUNT($C$19:$C$48)&lt;3,"",IF(31&lt;=COUNT($C$19:$C$48),INDEX($C$19:$C$48,31),INDEX($C$19:$C$48,1)))</f>
        <v/>
      </c>
      <c r="O49" s="37">
        <f>IF(COUNT($C$19:$C$48)&lt;3,"",IF(31&lt;=COUNT($C$19:$C$48),INDEX($D$19:$D$48,31),INDEX($D$19:$D$48,1)))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3">
    <mergeCell ref="C6:D6"/>
    <mergeCell ref="F5:H5"/>
    <mergeCell ref="J5:K5"/>
    <mergeCell ref="A4:D4"/>
    <mergeCell ref="J14:K14"/>
    <mergeCell ref="C5:D5"/>
    <mergeCell ref="J10:K10"/>
    <mergeCell ref="F8:H8"/>
    <mergeCell ref="J13:K13"/>
    <mergeCell ref="A6:B6"/>
    <mergeCell ref="A7:B7"/>
    <mergeCell ref="F13:H13"/>
    <mergeCell ref="A2:R2"/>
    <mergeCell ref="J15:K15"/>
    <mergeCell ref="F15:H15"/>
    <mergeCell ref="J4:K4"/>
    <mergeCell ref="J11:K11"/>
    <mergeCell ref="F14:H14"/>
    <mergeCell ref="J7:K7"/>
    <mergeCell ref="A5:B5"/>
    <mergeCell ref="F4:H4"/>
    <mergeCell ref="A8:B8"/>
    <mergeCell ref="F11:H11"/>
    <mergeCell ref="C8:D8"/>
    <mergeCell ref="A17:H17"/>
    <mergeCell ref="F10:H10"/>
    <mergeCell ref="C7:D7"/>
    <mergeCell ref="J12:K12"/>
    <mergeCell ref="F16:K16"/>
    <mergeCell ref="A1:R1"/>
    <mergeCell ref="F12:H12"/>
    <mergeCell ref="F7:H7"/>
    <mergeCell ref="J8:K8"/>
  </mergeCells>
  <conditionalFormatting sqref="F16">
    <cfRule type="expression" priority="1" dxfId="0">
      <formula>LEFT(F16,1)="✔"</formula>
    </cfRule>
    <cfRule type="expression" priority="2" dxfId="1">
      <formula>LEFT(F16,1)="✖"</formula>
    </cfRule>
  </conditionalFormatting>
  <dataValidations count="5">
    <dataValidation sqref="C5" showDropDown="0" showInputMessage="0" showErrorMessage="1" allowBlank="1" errorTitle="Sheetaky" error="اختر قيمة من القائمة" type="list">
      <formula1>=$Q$12:$Q$13</formula1>
    </dataValidation>
    <dataValidation sqref="C6" showDropDown="0" showInputMessage="0" showErrorMessage="1" allowBlank="1" errorTitle="Sheetaky" error="اختر قيمة من القائمة" type="list">
      <formula1>=$Q$5:$Q$9</formula1>
    </dataValidation>
    <dataValidation sqref="C7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C8" showDropDown="0" showInputMessage="0" showErrorMessage="1" allowBlank="1" errorTitle="Sheetaky" error="أدخل رقمًا بين 0 و 1000000000" type="decimal" operator="between">
      <formula1>0</formula1>
      <formula2>1000000000</formula2>
    </dataValidation>
    <dataValidation sqref="C19:D48" showDropDown="0" showInputMessage="0" showErrorMessage="1" allowBlank="1" errorTitle="Sheetaky" error="أدخل رقمًا بين -100000000 و 100000000" type="decimal" operator="between">
      <formula1>-100000000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مساحة القطعة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8" t="inlineStr">
        <is>
          <t>يحسب مساحة قطعة غير منتظمة ومحيطها من إحداثيات رؤوسها بطريقة الإحداثيات (شوليس)، مع طول واتجاه كل ضلع والزوايا الداخلية ومركز القطعة ومقارنتها بالصك.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9" t="n">
        <v>1</v>
      </c>
      <c r="B8" s="38" t="inlineStr">
        <is>
          <t>اختر وحدة الإحداثيات ووحدة عرض المساحة.</t>
        </is>
      </c>
    </row>
    <row r="9" ht="20" customHeight="1">
      <c r="A9" s="39" t="n">
        <v>2</v>
      </c>
      <c r="B9" s="38" t="inlineStr">
        <is>
          <t>اكتب إحداثيات الرؤوس بالترتيب حول القطعة.</t>
        </is>
      </c>
    </row>
    <row r="10" ht="20" customHeight="1">
      <c r="A10" s="39" t="n">
        <v>3</v>
      </c>
      <c r="B10" s="38" t="inlineStr">
        <is>
          <t>اقرأ المساحة والمحيط وفرقهما عن الصك.</t>
        </is>
      </c>
    </row>
    <row r="11" ht="20" customHeight="1">
      <c r="A11" s="39" t="n">
        <v>4</v>
      </c>
      <c r="B11" s="38" t="inlineStr">
        <is>
          <t>راجع فحص الزوايا ورسم الشكل للتأكد من ترتيب الرؤوس.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40" t="inlineStr"/>
      <c r="B14" s="38" t="inlineStr">
        <is>
          <t>خلية إدخال: اكتب أو اختر قيمتك هنا (خط أزرق على خلفية صفراء).</t>
        </is>
      </c>
    </row>
    <row r="15">
      <c r="A15" s="41" t="inlineStr"/>
      <c r="B15" s="38" t="inlineStr">
        <is>
          <t>خلية محسوبة: معادلة تلقائية، محمية من المسح بالخطأ.</t>
        </is>
      </c>
    </row>
    <row r="16">
      <c r="A16" s="42" t="inlineStr"/>
      <c r="B16" s="38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3" t="inlineStr">
        <is>
          <t>•</t>
        </is>
      </c>
      <c r="B19" s="44" t="inlineStr">
        <is>
          <t>الاتجاه بالدرجات من الشمال مع عقارب الساعة.</t>
        </is>
      </c>
    </row>
    <row r="20" ht="20" customHeight="1">
      <c r="A20" s="43" t="inlineStr">
        <is>
          <t>•</t>
        </is>
      </c>
      <c r="B20" s="44" t="inlineStr">
        <is>
          <t>الطريقة مناسبة لشكل بسيط لا يتقاطع ضلعاه.</t>
        </is>
      </c>
    </row>
    <row r="21" ht="20" customHeight="1">
      <c r="A21" s="43" t="inlineStr">
        <is>
          <t>•</t>
        </is>
      </c>
      <c r="B21" s="44" t="inlineStr">
        <is>
          <t>الإحداثيات المسطحة مناسبة للقطع الصغيرة؛ للمساحات الكبيرة يؤثر مقياس الشبكة.</t>
        </is>
      </c>
    </row>
    <row r="22" ht="20" customHeight="1">
      <c r="A22" s="43" t="inlineStr">
        <is>
          <t>•</t>
        </is>
      </c>
      <c r="B22" s="44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3" t="inlineStr">
        <is>
          <t>•</t>
        </is>
      </c>
      <c r="B23" s="44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3" t="inlineStr">
        <is>
          <t>•</t>
        </is>
      </c>
      <c r="B24" s="44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PLT</dc:title>
  <dcterms:created xmlns:dcterms="http://purl.org/dc/terms/" xmlns:xsi="http://www.w3.org/2001/XMLSchema-instance" xsi:type="dcterms:W3CDTF">2026-10-23T13:13:49Z</dcterms:created>
  <dcterms:modified xmlns:dcterms="http://purl.org/dc/terms/" xmlns:xsi="http://www.w3.org/2001/XMLSchema-instance" xsi:type="dcterms:W3CDTF">2026-10-23T13:13:49Z</dcterms:modified>
</cp:coreProperties>
</file>