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ve" sheetId="1" state="visible" r:id="rId1"/>
    <sheet xmlns:r="http://schemas.openxmlformats.org/officeDocument/2006/relationships" name="AutoCAD" sheetId="2" state="visible" r:id="rId2"/>
    <sheet xmlns:r="http://schemas.openxmlformats.org/officeDocument/2006/relationships" name="Gui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color rgb="005A665F"/>
      <sz val="9"/>
    </font>
    <font>
      <name val="Arial"/>
      <color rgb="001F2A24"/>
      <sz val="10"/>
    </font>
    <font>
      <name val="Arial"/>
      <b val="1"/>
      <color rgb="00FFFFFF"/>
      <sz val="10"/>
    </font>
    <font>
      <name val="Arial"/>
      <i val="1"/>
      <color rgb="005A665F"/>
      <sz val="9"/>
    </font>
    <font>
      <name val="Arial"/>
      <b val="1"/>
      <color rgb="00E8A317"/>
      <sz val="10"/>
    </font>
  </fonts>
  <fills count="7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4" fillId="4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0" fontId="0" fillId="0" borderId="1" pivotButton="0" quotePrefix="0" xfId="0"/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4" fillId="0" borderId="1" applyAlignment="1" pivotButton="0" quotePrefix="0" xfId="0">
      <alignment horizontal="center" vertical="center" wrapText="1" readingOrder="1"/>
    </xf>
    <xf numFmtId="165" fontId="4" fillId="6" borderId="1" applyAlignment="1" pivotButton="0" quotePrefix="0" xfId="0">
      <alignment horizontal="center" vertical="center" wrapText="1" readingOrder="1"/>
    </xf>
    <xf numFmtId="0" fontId="0" fillId="6" borderId="1" pivotButton="0" quotePrefix="0" xfId="0"/>
    <xf numFmtId="165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0" applyAlignment="1" pivotButton="0" quotePrefix="0" xfId="0">
      <alignment horizontal="center" vertical="center" wrapText="1" readingOrder="1"/>
    </xf>
    <xf numFmtId="165" fontId="7" fillId="6" borderId="1" applyAlignment="1" pivotButton="0" quotePrefix="0" xfId="0">
      <alignment horizontal="center" vertical="center" wrapText="1" readingOrder="1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166" fontId="7" fillId="6" borderId="1" applyAlignment="1" pivotButton="0" quotePrefix="0" xfId="0">
      <alignment horizontal="center" vertical="center" wrapText="1" readingOrder="1"/>
    </xf>
    <xf numFmtId="0" fontId="8" fillId="2" borderId="1" applyAlignment="1" pivotButton="0" quotePrefix="0" xfId="0">
      <alignment horizontal="center" vertical="center" wrapText="1" readingOrder="1"/>
    </xf>
    <xf numFmtId="0" fontId="7" fillId="6" borderId="1" applyAlignment="1" pivotButton="0" quotePrefix="0" xfId="0">
      <alignment horizontal="center" vertical="center" wrapText="1" readingOrder="1"/>
    </xf>
    <xf numFmtId="0" fontId="7" fillId="0" borderId="1" applyAlignment="1" pivotButton="0" quotePrefix="0" xfId="0">
      <alignment horizontal="left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9" fillId="0" borderId="0" applyAlignment="1" pivotButton="0" quotePrefix="0" xfId="0">
      <alignment horizontal="left" vertical="center" wrapText="1" readingOrder="1"/>
    </xf>
    <xf numFmtId="0" fontId="8" fillId="2" borderId="1" applyAlignment="1" pivotButton="0" quotePrefix="0" xfId="0">
      <alignment horizontal="left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0" fontId="7" fillId="6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10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K59"/>
  <sheetViews>
    <sheetView showGridLines="0" rightToLeft="0" zoomScale="100" workbookViewId="0">
      <pane ySplit="19" topLeftCell="A20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3" customWidth="1" min="4" max="4"/>
    <col width="13" customWidth="1" min="5" max="5"/>
    <col width="16" customWidth="1" min="6" max="6"/>
    <col width="13" customWidth="1" min="7" max="7"/>
    <col width="13" customWidth="1" min="8" max="8"/>
    <col width="14" customWidth="1" min="9" max="9"/>
    <col width="15" customWidth="1" min="10" max="10"/>
    <col width="15" customWidth="1" min="11" max="11"/>
  </cols>
  <sheetData>
    <row r="1" ht="36" customHeight="1">
      <c r="A1" s="1" t="inlineStr">
        <is>
          <t>Horizontal Circular Curve: Elements, Deflection Table and Coordinates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8" customHeight="1">
      <c r="A2" s="3" t="inlineStr">
        <is>
          <t>From the deflection angle, radius and PI chainage get the curve elements, the setting-out table, the coordinates of each point and AutoCAD commands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3"/>
    <row r="4" ht="22" customHeight="1">
      <c r="A4" s="5" t="inlineStr">
        <is>
          <t>Curve data</t>
        </is>
      </c>
      <c r="B4" s="6" t="n"/>
      <c r="C4" s="6" t="n"/>
      <c r="D4" s="6" t="n"/>
      <c r="E4" s="6" t="n"/>
      <c r="G4" s="7" t="inlineStr">
        <is>
          <t>Curve elements</t>
        </is>
      </c>
      <c r="H4" s="6" t="n"/>
      <c r="I4" s="6" t="n"/>
      <c r="J4" s="6" t="n"/>
      <c r="K4" s="6" t="n"/>
    </row>
    <row r="5">
      <c r="A5" s="8" t="inlineStr">
        <is>
          <t>Deflection angle Δ (D M S)</t>
        </is>
      </c>
      <c r="B5" s="9" t="n"/>
      <c r="C5" s="10" t="n">
        <v>38</v>
      </c>
      <c r="D5" s="10" t="n">
        <v>24</v>
      </c>
      <c r="E5" s="11" t="n">
        <v>30</v>
      </c>
      <c r="G5" s="12" t="inlineStr">
        <is>
          <t>Tangent length T</t>
        </is>
      </c>
      <c r="H5" s="9" t="n"/>
      <c r="I5" s="9" t="n"/>
      <c r="J5" s="13">
        <f>$D$6*TAN(RADIANS(($C$5+$D$5/60+$E$5/3600))/2)</f>
        <v/>
      </c>
      <c r="K5" s="14" t="n"/>
    </row>
    <row r="6">
      <c r="A6" s="8" t="inlineStr">
        <is>
          <t>Radius R</t>
        </is>
      </c>
      <c r="B6" s="9" t="n"/>
      <c r="C6" s="9" t="n"/>
      <c r="D6" s="15" t="n">
        <v>250</v>
      </c>
      <c r="E6" s="16" t="inlineStr">
        <is>
          <t>m</t>
        </is>
      </c>
      <c r="G6" s="12" t="inlineStr">
        <is>
          <t>Curve length L</t>
        </is>
      </c>
      <c r="H6" s="9" t="n"/>
      <c r="I6" s="9" t="n"/>
      <c r="J6" s="13">
        <f>$D$6*RADIANS(($C$5+$D$5/60+$E$5/3600))</f>
        <v/>
      </c>
      <c r="K6" s="14" t="n"/>
    </row>
    <row r="7">
      <c r="A7" s="8" t="inlineStr">
        <is>
          <t>PI chainage</t>
        </is>
      </c>
      <c r="B7" s="9" t="n"/>
      <c r="C7" s="9" t="n"/>
      <c r="D7" s="15" t="n">
        <v>1234.56</v>
      </c>
      <c r="E7" s="16" t="inlineStr">
        <is>
          <t>m</t>
        </is>
      </c>
      <c r="G7" s="12" t="inlineStr">
        <is>
          <t>Long chord LC</t>
        </is>
      </c>
      <c r="H7" s="9" t="n"/>
      <c r="I7" s="9" t="n"/>
      <c r="J7" s="17">
        <f>2*$D$6*SIN(RADIANS(($C$5+$D$5/60+$E$5/3600))/2)</f>
        <v/>
      </c>
      <c r="K7" s="14" t="n"/>
    </row>
    <row r="8">
      <c r="A8" s="8" t="inlineStr">
        <is>
          <t>Setting-out interval</t>
        </is>
      </c>
      <c r="B8" s="9" t="n"/>
      <c r="C8" s="9" t="n"/>
      <c r="D8" s="18" t="n">
        <v>20</v>
      </c>
      <c r="E8" s="16" t="inlineStr">
        <is>
          <t>m</t>
        </is>
      </c>
      <c r="G8" s="12" t="inlineStr">
        <is>
          <t>External distance E</t>
        </is>
      </c>
      <c r="H8" s="9" t="n"/>
      <c r="I8" s="9" t="n"/>
      <c r="J8" s="17">
        <f>$D$6*(1/COS(RADIANS(($C$5+$D$5/60+$E$5/3600))/2)-1)</f>
        <v/>
      </c>
      <c r="K8" s="14" t="n"/>
    </row>
    <row r="9">
      <c r="A9" s="8" t="inlineStr">
        <is>
          <t>Curve direction</t>
        </is>
      </c>
      <c r="B9" s="9" t="n"/>
      <c r="C9" s="9" t="n"/>
      <c r="D9" s="19" t="inlineStr">
        <is>
          <t>Right</t>
        </is>
      </c>
      <c r="E9" s="16" t="inlineStr"/>
      <c r="G9" s="12" t="inlineStr">
        <is>
          <t>Middle ordinate M</t>
        </is>
      </c>
      <c r="H9" s="9" t="n"/>
      <c r="I9" s="9" t="n"/>
      <c r="J9" s="17">
        <f>$D$6*(1-COS(RADIANS(($C$5+$D$5/60+$E$5/3600))/2))</f>
        <v/>
      </c>
      <c r="K9" s="14" t="n"/>
    </row>
    <row r="10">
      <c r="A10" s="8" t="inlineStr">
        <is>
          <t>Back tangent azimuth (D M S)</t>
        </is>
      </c>
      <c r="B10" s="9" t="n"/>
      <c r="C10" s="10" t="n">
        <v>62</v>
      </c>
      <c r="D10" s="10" t="n">
        <v>15</v>
      </c>
      <c r="E10" s="11" t="n">
        <v>0</v>
      </c>
      <c r="G10" s="12" t="inlineStr">
        <is>
          <t>PC chainage</t>
        </is>
      </c>
      <c r="H10" s="9" t="n"/>
      <c r="I10" s="9" t="n"/>
      <c r="J10" s="13">
        <f>$D$7-$J$5</f>
        <v/>
      </c>
      <c r="K10" s="14" t="n"/>
    </row>
    <row r="11">
      <c r="A11" s="8" t="inlineStr">
        <is>
          <t>PI northing</t>
        </is>
      </c>
      <c r="B11" s="9" t="n"/>
      <c r="C11" s="9" t="n"/>
      <c r="D11" s="15" t="n">
        <v>5000</v>
      </c>
      <c r="E11" s="16" t="inlineStr"/>
      <c r="G11" s="12" t="inlineStr">
        <is>
          <t>PT chainage</t>
        </is>
      </c>
      <c r="H11" s="9" t="n"/>
      <c r="I11" s="9" t="n"/>
      <c r="J11" s="13">
        <f>$J$10+$J$6</f>
        <v/>
      </c>
      <c r="K11" s="14" t="n"/>
    </row>
    <row r="12">
      <c r="A12" s="8" t="inlineStr">
        <is>
          <t>PI easting</t>
        </is>
      </c>
      <c r="B12" s="9" t="n"/>
      <c r="C12" s="9" t="n"/>
      <c r="D12" s="15" t="n">
        <v>5000</v>
      </c>
      <c r="E12" s="16" t="inlineStr"/>
      <c r="G12" s="12" t="inlineStr">
        <is>
          <t>PC northing</t>
        </is>
      </c>
      <c r="H12" s="9" t="n"/>
      <c r="I12" s="9" t="n"/>
      <c r="J12" s="17">
        <f>$D$11-$J$5*COS(RADIANS(($C$10+$D$10/60+$E$10/3600)))</f>
        <v/>
      </c>
      <c r="K12" s="14" t="n"/>
    </row>
    <row r="13">
      <c r="G13" s="12" t="inlineStr">
        <is>
          <t>PC easting</t>
        </is>
      </c>
      <c r="H13" s="9" t="n"/>
      <c r="I13" s="9" t="n"/>
      <c r="J13" s="17">
        <f>$D$12-$J$5*SIN(RADIANS(($C$10+$D$10/60+$E$10/3600)))</f>
        <v/>
      </c>
      <c r="K13" s="14" t="n"/>
    </row>
    <row r="14">
      <c r="G14" s="12" t="inlineStr">
        <is>
          <t>Forward tangent azimuth °</t>
        </is>
      </c>
      <c r="H14" s="9" t="n"/>
      <c r="I14" s="9" t="n"/>
      <c r="J14" s="20">
        <f>MOD(($C$10+$D$10/60+$E$10/3600)+IF($D$9="Right",1,-1)*($C$5+$D$5/60+$E$5/3600),360)</f>
        <v/>
      </c>
      <c r="K14" s="14" t="n"/>
    </row>
    <row r="15">
      <c r="G15" s="12" t="inlineStr">
        <is>
          <t>PT northing</t>
        </is>
      </c>
      <c r="H15" s="9" t="n"/>
      <c r="I15" s="9" t="n"/>
      <c r="J15" s="17">
        <f>$D$11+$J$5*COS(RADIANS($J$14))</f>
        <v/>
      </c>
      <c r="K15" s="14" t="n"/>
    </row>
    <row r="16">
      <c r="G16" s="12" t="inlineStr">
        <is>
          <t>PT easting</t>
        </is>
      </c>
      <c r="H16" s="9" t="n"/>
      <c r="I16" s="9" t="n"/>
      <c r="J16" s="17">
        <f>$D$12+$J$5*SIN(RADIANS($J$14))</f>
        <v/>
      </c>
      <c r="K16" s="14" t="n"/>
    </row>
    <row r="17"/>
    <row r="18" ht="22" customHeight="1">
      <c r="A18" s="5" t="inlineStr">
        <is>
          <t>Setting-out table (deflection from PC)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 ht="44" customHeight="1">
      <c r="A19" s="21" t="inlineStr">
        <is>
          <t>Label</t>
        </is>
      </c>
      <c r="B19" s="21" t="inlineStr">
        <is>
          <t>Chainage</t>
        </is>
      </c>
      <c r="C19" s="21" t="inlineStr">
        <is>
          <t>Station</t>
        </is>
      </c>
      <c r="D19" s="21" t="inlineStr">
        <is>
          <t>Arc from PC</t>
        </is>
      </c>
      <c r="E19" s="21" t="inlineStr">
        <is>
          <t>Deflection °</t>
        </is>
      </c>
      <c r="F19" s="21" t="inlineStr">
        <is>
          <t>Deflection D°M′S″</t>
        </is>
      </c>
      <c r="G19" s="21" t="inlineStr">
        <is>
          <t>Chord from PC</t>
        </is>
      </c>
      <c r="H19" s="21" t="inlineStr">
        <is>
          <t>Chord from prev.</t>
        </is>
      </c>
      <c r="I19" s="21" t="inlineStr">
        <is>
          <t>Chord azimuth °</t>
        </is>
      </c>
      <c r="J19" s="21" t="inlineStr">
        <is>
          <t>N</t>
        </is>
      </c>
      <c r="K19" s="21" t="inlineStr">
        <is>
          <t>E</t>
        </is>
      </c>
    </row>
    <row r="20">
      <c r="A20" s="22">
        <f>IF(B20="","",IF(ABS(B20-$J$10)&lt;0.0000001,"PC",IF(ABS(B20-$J$11)&lt;0.0000001,"PT","")))</f>
        <v/>
      </c>
      <c r="B20" s="17">
        <f>$J$10</f>
        <v/>
      </c>
      <c r="C20" s="22">
        <f>IF(B20="","",INT(B20/1000)&amp;"+"&amp;TEXT(MOD(B20,1000),"000.000"))</f>
        <v/>
      </c>
      <c r="D20" s="17">
        <f>IF(B20="","",B20-$J$10)</f>
        <v/>
      </c>
      <c r="E20" s="20">
        <f>IF(B20="","",DEGREES(D20/(2*$D$6)))</f>
        <v/>
      </c>
      <c r="F20" s="22">
        <f>IF(B20="","",INT(MOD(ROUND(MOD(E20,360)*3600,0),1296000)/3600)&amp;"°"&amp;TEXT(INT(MOD(MOD(ROUND(MOD(E20,360)*3600,0),1296000),3600)/60),"00")&amp;"'"&amp;TEXT(MOD(MOD(ROUND(MOD(E20,360)*3600,0),1296000),60),"00")&amp;"""")</f>
        <v/>
      </c>
      <c r="G20" s="17">
        <f>IF(B20="","",2*$D$6*SIN(D20/(2*$D$6)))</f>
        <v/>
      </c>
      <c r="H20" s="17">
        <f>IF(B20="","",0)</f>
        <v/>
      </c>
      <c r="I20" s="20">
        <f>IF(B20="","",MOD(($C$10+$D$10/60+$E$10/3600)+IF($D$9="Right",1,-1)*E20,360))</f>
        <v/>
      </c>
      <c r="J20" s="17">
        <f>IF(B20="","",$J$12+G20*COS(RADIANS(I20)))</f>
        <v/>
      </c>
      <c r="K20" s="17">
        <f>IF(B20="","",$J$13+G20*SIN(RADIANS(I20)))</f>
        <v/>
      </c>
    </row>
    <row r="21">
      <c r="A21" s="22">
        <f>IF(B21="","",IF(ABS(B21-$J$10)&lt;0.0000001,"PC",IF(ABS(B21-$J$11)&lt;0.0000001,"PT","")))</f>
        <v/>
      </c>
      <c r="B21" s="17">
        <f>IF(B20="","",IF(B20&gt;=$J$11-0.0000001,"",MIN($J$11,IF(MOD($J$10,$D$8)=0,$J$10+$D$8,CEILING($J$10,$D$8)))))</f>
        <v/>
      </c>
      <c r="C21" s="22">
        <f>IF(B21="","",INT(B21/1000)&amp;"+"&amp;TEXT(MOD(B21,1000),"000.000"))</f>
        <v/>
      </c>
      <c r="D21" s="17">
        <f>IF(B21="","",B21-$J$10)</f>
        <v/>
      </c>
      <c r="E21" s="20">
        <f>IF(B21="","",DEGREES(D21/(2*$D$6)))</f>
        <v/>
      </c>
      <c r="F21" s="22">
        <f>IF(B21="","",INT(MOD(ROUND(MOD(E21,360)*3600,0),1296000)/3600)&amp;"°"&amp;TEXT(INT(MOD(MOD(ROUND(MOD(E21,360)*3600,0),1296000),3600)/60),"00")&amp;"'"&amp;TEXT(MOD(MOD(ROUND(MOD(E21,360)*3600,0),1296000),60),"00")&amp;"""")</f>
        <v/>
      </c>
      <c r="G21" s="17">
        <f>IF(B21="","",2*$D$6*SIN(D21/(2*$D$6)))</f>
        <v/>
      </c>
      <c r="H21" s="17">
        <f>IF(B21="","",2*$D$6*SIN((D21-D20)/(2*$D$6)))</f>
        <v/>
      </c>
      <c r="I21" s="20">
        <f>IF(B21="","",MOD(($C$10+$D$10/60+$E$10/3600)+IF($D$9="Right",1,-1)*E21,360))</f>
        <v/>
      </c>
      <c r="J21" s="17">
        <f>IF(B21="","",$J$12+G21*COS(RADIANS(I21)))</f>
        <v/>
      </c>
      <c r="K21" s="17">
        <f>IF(B21="","",$J$13+G21*SIN(RADIANS(I21)))</f>
        <v/>
      </c>
    </row>
    <row r="22">
      <c r="A22" s="22">
        <f>IF(B22="","",IF(ABS(B22-$J$10)&lt;0.0000001,"PC",IF(ABS(B22-$J$11)&lt;0.0000001,"PT","")))</f>
        <v/>
      </c>
      <c r="B22" s="17">
        <f>IF(B21="","",IF(B21&gt;=$J$11-0.0000001,"",MIN($J$11,B21+$D$8)))</f>
        <v/>
      </c>
      <c r="C22" s="22">
        <f>IF(B22="","",INT(B22/1000)&amp;"+"&amp;TEXT(MOD(B22,1000),"000.000"))</f>
        <v/>
      </c>
      <c r="D22" s="17">
        <f>IF(B22="","",B22-$J$10)</f>
        <v/>
      </c>
      <c r="E22" s="20">
        <f>IF(B22="","",DEGREES(D22/(2*$D$6)))</f>
        <v/>
      </c>
      <c r="F22" s="22">
        <f>IF(B22="","",INT(MOD(ROUND(MOD(E22,360)*3600,0),1296000)/3600)&amp;"°"&amp;TEXT(INT(MOD(MOD(ROUND(MOD(E22,360)*3600,0),1296000),3600)/60),"00")&amp;"'"&amp;TEXT(MOD(MOD(ROUND(MOD(E22,360)*3600,0),1296000),60),"00")&amp;"""")</f>
        <v/>
      </c>
      <c r="G22" s="17">
        <f>IF(B22="","",2*$D$6*SIN(D22/(2*$D$6)))</f>
        <v/>
      </c>
      <c r="H22" s="17">
        <f>IF(B22="","",2*$D$6*SIN((D22-D21)/(2*$D$6)))</f>
        <v/>
      </c>
      <c r="I22" s="20">
        <f>IF(B22="","",MOD(($C$10+$D$10/60+$E$10/3600)+IF($D$9="Right",1,-1)*E22,360))</f>
        <v/>
      </c>
      <c r="J22" s="17">
        <f>IF(B22="","",$J$12+G22*COS(RADIANS(I22)))</f>
        <v/>
      </c>
      <c r="K22" s="17">
        <f>IF(B22="","",$J$13+G22*SIN(RADIANS(I22)))</f>
        <v/>
      </c>
    </row>
    <row r="23">
      <c r="A23" s="22">
        <f>IF(B23="","",IF(ABS(B23-$J$10)&lt;0.0000001,"PC",IF(ABS(B23-$J$11)&lt;0.0000001,"PT","")))</f>
        <v/>
      </c>
      <c r="B23" s="17">
        <f>IF(B22="","",IF(B22&gt;=$J$11-0.0000001,"",MIN($J$11,B22+$D$8)))</f>
        <v/>
      </c>
      <c r="C23" s="22">
        <f>IF(B23="","",INT(B23/1000)&amp;"+"&amp;TEXT(MOD(B23,1000),"000.000"))</f>
        <v/>
      </c>
      <c r="D23" s="17">
        <f>IF(B23="","",B23-$J$10)</f>
        <v/>
      </c>
      <c r="E23" s="20">
        <f>IF(B23="","",DEGREES(D23/(2*$D$6)))</f>
        <v/>
      </c>
      <c r="F23" s="22">
        <f>IF(B23="","",INT(MOD(ROUND(MOD(E23,360)*3600,0),1296000)/3600)&amp;"°"&amp;TEXT(INT(MOD(MOD(ROUND(MOD(E23,360)*3600,0),1296000),3600)/60),"00")&amp;"'"&amp;TEXT(MOD(MOD(ROUND(MOD(E23,360)*3600,0),1296000),60),"00")&amp;"""")</f>
        <v/>
      </c>
      <c r="G23" s="17">
        <f>IF(B23="","",2*$D$6*SIN(D23/(2*$D$6)))</f>
        <v/>
      </c>
      <c r="H23" s="17">
        <f>IF(B23="","",2*$D$6*SIN((D23-D22)/(2*$D$6)))</f>
        <v/>
      </c>
      <c r="I23" s="20">
        <f>IF(B23="","",MOD(($C$10+$D$10/60+$E$10/3600)+IF($D$9="Right",1,-1)*E23,360))</f>
        <v/>
      </c>
      <c r="J23" s="17">
        <f>IF(B23="","",$J$12+G23*COS(RADIANS(I23)))</f>
        <v/>
      </c>
      <c r="K23" s="17">
        <f>IF(B23="","",$J$13+G23*SIN(RADIANS(I23)))</f>
        <v/>
      </c>
    </row>
    <row r="24">
      <c r="A24" s="22">
        <f>IF(B24="","",IF(ABS(B24-$J$10)&lt;0.0000001,"PC",IF(ABS(B24-$J$11)&lt;0.0000001,"PT","")))</f>
        <v/>
      </c>
      <c r="B24" s="17">
        <f>IF(B23="","",IF(B23&gt;=$J$11-0.0000001,"",MIN($J$11,B23+$D$8)))</f>
        <v/>
      </c>
      <c r="C24" s="22">
        <f>IF(B24="","",INT(B24/1000)&amp;"+"&amp;TEXT(MOD(B24,1000),"000.000"))</f>
        <v/>
      </c>
      <c r="D24" s="17">
        <f>IF(B24="","",B24-$J$10)</f>
        <v/>
      </c>
      <c r="E24" s="20">
        <f>IF(B24="","",DEGREES(D24/(2*$D$6)))</f>
        <v/>
      </c>
      <c r="F24" s="22">
        <f>IF(B24="","",INT(MOD(ROUND(MOD(E24,360)*3600,0),1296000)/3600)&amp;"°"&amp;TEXT(INT(MOD(MOD(ROUND(MOD(E24,360)*3600,0),1296000),3600)/60),"00")&amp;"'"&amp;TEXT(MOD(MOD(ROUND(MOD(E24,360)*3600,0),1296000),60),"00")&amp;"""")</f>
        <v/>
      </c>
      <c r="G24" s="17">
        <f>IF(B24="","",2*$D$6*SIN(D24/(2*$D$6)))</f>
        <v/>
      </c>
      <c r="H24" s="17">
        <f>IF(B24="","",2*$D$6*SIN((D24-D23)/(2*$D$6)))</f>
        <v/>
      </c>
      <c r="I24" s="20">
        <f>IF(B24="","",MOD(($C$10+$D$10/60+$E$10/3600)+IF($D$9="Right",1,-1)*E24,360))</f>
        <v/>
      </c>
      <c r="J24" s="17">
        <f>IF(B24="","",$J$12+G24*COS(RADIANS(I24)))</f>
        <v/>
      </c>
      <c r="K24" s="17">
        <f>IF(B24="","",$J$13+G24*SIN(RADIANS(I24)))</f>
        <v/>
      </c>
    </row>
    <row r="25">
      <c r="A25" s="22">
        <f>IF(B25="","",IF(ABS(B25-$J$10)&lt;0.0000001,"PC",IF(ABS(B25-$J$11)&lt;0.0000001,"PT","")))</f>
        <v/>
      </c>
      <c r="B25" s="17">
        <f>IF(B24="","",IF(B24&gt;=$J$11-0.0000001,"",MIN($J$11,B24+$D$8)))</f>
        <v/>
      </c>
      <c r="C25" s="22">
        <f>IF(B25="","",INT(B25/1000)&amp;"+"&amp;TEXT(MOD(B25,1000),"000.000"))</f>
        <v/>
      </c>
      <c r="D25" s="17">
        <f>IF(B25="","",B25-$J$10)</f>
        <v/>
      </c>
      <c r="E25" s="20">
        <f>IF(B25="","",DEGREES(D25/(2*$D$6)))</f>
        <v/>
      </c>
      <c r="F25" s="22">
        <f>IF(B25="","",INT(MOD(ROUND(MOD(E25,360)*3600,0),1296000)/3600)&amp;"°"&amp;TEXT(INT(MOD(MOD(ROUND(MOD(E25,360)*3600,0),1296000),3600)/60),"00")&amp;"'"&amp;TEXT(MOD(MOD(ROUND(MOD(E25,360)*3600,0),1296000),60),"00")&amp;"""")</f>
        <v/>
      </c>
      <c r="G25" s="17">
        <f>IF(B25="","",2*$D$6*SIN(D25/(2*$D$6)))</f>
        <v/>
      </c>
      <c r="H25" s="17">
        <f>IF(B25="","",2*$D$6*SIN((D25-D24)/(2*$D$6)))</f>
        <v/>
      </c>
      <c r="I25" s="20">
        <f>IF(B25="","",MOD(($C$10+$D$10/60+$E$10/3600)+IF($D$9="Right",1,-1)*E25,360))</f>
        <v/>
      </c>
      <c r="J25" s="17">
        <f>IF(B25="","",$J$12+G25*COS(RADIANS(I25)))</f>
        <v/>
      </c>
      <c r="K25" s="17">
        <f>IF(B25="","",$J$13+G25*SIN(RADIANS(I25)))</f>
        <v/>
      </c>
    </row>
    <row r="26">
      <c r="A26" s="22">
        <f>IF(B26="","",IF(ABS(B26-$J$10)&lt;0.0000001,"PC",IF(ABS(B26-$J$11)&lt;0.0000001,"PT","")))</f>
        <v/>
      </c>
      <c r="B26" s="17">
        <f>IF(B25="","",IF(B25&gt;=$J$11-0.0000001,"",MIN($J$11,B25+$D$8)))</f>
        <v/>
      </c>
      <c r="C26" s="22">
        <f>IF(B26="","",INT(B26/1000)&amp;"+"&amp;TEXT(MOD(B26,1000),"000.000"))</f>
        <v/>
      </c>
      <c r="D26" s="17">
        <f>IF(B26="","",B26-$J$10)</f>
        <v/>
      </c>
      <c r="E26" s="20">
        <f>IF(B26="","",DEGREES(D26/(2*$D$6)))</f>
        <v/>
      </c>
      <c r="F26" s="22">
        <f>IF(B26="","",INT(MOD(ROUND(MOD(E26,360)*3600,0),1296000)/3600)&amp;"°"&amp;TEXT(INT(MOD(MOD(ROUND(MOD(E26,360)*3600,0),1296000),3600)/60),"00")&amp;"'"&amp;TEXT(MOD(MOD(ROUND(MOD(E26,360)*3600,0),1296000),60),"00")&amp;"""")</f>
        <v/>
      </c>
      <c r="G26" s="17">
        <f>IF(B26="","",2*$D$6*SIN(D26/(2*$D$6)))</f>
        <v/>
      </c>
      <c r="H26" s="17">
        <f>IF(B26="","",2*$D$6*SIN((D26-D25)/(2*$D$6)))</f>
        <v/>
      </c>
      <c r="I26" s="20">
        <f>IF(B26="","",MOD(($C$10+$D$10/60+$E$10/3600)+IF($D$9="Right",1,-1)*E26,360))</f>
        <v/>
      </c>
      <c r="J26" s="17">
        <f>IF(B26="","",$J$12+G26*COS(RADIANS(I26)))</f>
        <v/>
      </c>
      <c r="K26" s="17">
        <f>IF(B26="","",$J$13+G26*SIN(RADIANS(I26)))</f>
        <v/>
      </c>
    </row>
    <row r="27">
      <c r="A27" s="22">
        <f>IF(B27="","",IF(ABS(B27-$J$10)&lt;0.0000001,"PC",IF(ABS(B27-$J$11)&lt;0.0000001,"PT","")))</f>
        <v/>
      </c>
      <c r="B27" s="17">
        <f>IF(B26="","",IF(B26&gt;=$J$11-0.0000001,"",MIN($J$11,B26+$D$8)))</f>
        <v/>
      </c>
      <c r="C27" s="22">
        <f>IF(B27="","",INT(B27/1000)&amp;"+"&amp;TEXT(MOD(B27,1000),"000.000"))</f>
        <v/>
      </c>
      <c r="D27" s="17">
        <f>IF(B27="","",B27-$J$10)</f>
        <v/>
      </c>
      <c r="E27" s="20">
        <f>IF(B27="","",DEGREES(D27/(2*$D$6)))</f>
        <v/>
      </c>
      <c r="F27" s="22">
        <f>IF(B27="","",INT(MOD(ROUND(MOD(E27,360)*3600,0),1296000)/3600)&amp;"°"&amp;TEXT(INT(MOD(MOD(ROUND(MOD(E27,360)*3600,0),1296000),3600)/60),"00")&amp;"'"&amp;TEXT(MOD(MOD(ROUND(MOD(E27,360)*3600,0),1296000),60),"00")&amp;"""")</f>
        <v/>
      </c>
      <c r="G27" s="17">
        <f>IF(B27="","",2*$D$6*SIN(D27/(2*$D$6)))</f>
        <v/>
      </c>
      <c r="H27" s="17">
        <f>IF(B27="","",2*$D$6*SIN((D27-D26)/(2*$D$6)))</f>
        <v/>
      </c>
      <c r="I27" s="20">
        <f>IF(B27="","",MOD(($C$10+$D$10/60+$E$10/3600)+IF($D$9="Right",1,-1)*E27,360))</f>
        <v/>
      </c>
      <c r="J27" s="17">
        <f>IF(B27="","",$J$12+G27*COS(RADIANS(I27)))</f>
        <v/>
      </c>
      <c r="K27" s="17">
        <f>IF(B27="","",$J$13+G27*SIN(RADIANS(I27)))</f>
        <v/>
      </c>
    </row>
    <row r="28">
      <c r="A28" s="22">
        <f>IF(B28="","",IF(ABS(B28-$J$10)&lt;0.0000001,"PC",IF(ABS(B28-$J$11)&lt;0.0000001,"PT","")))</f>
        <v/>
      </c>
      <c r="B28" s="17">
        <f>IF(B27="","",IF(B27&gt;=$J$11-0.0000001,"",MIN($J$11,B27+$D$8)))</f>
        <v/>
      </c>
      <c r="C28" s="22">
        <f>IF(B28="","",INT(B28/1000)&amp;"+"&amp;TEXT(MOD(B28,1000),"000.000"))</f>
        <v/>
      </c>
      <c r="D28" s="17">
        <f>IF(B28="","",B28-$J$10)</f>
        <v/>
      </c>
      <c r="E28" s="20">
        <f>IF(B28="","",DEGREES(D28/(2*$D$6)))</f>
        <v/>
      </c>
      <c r="F28" s="22">
        <f>IF(B28="","",INT(MOD(ROUND(MOD(E28,360)*3600,0),1296000)/3600)&amp;"°"&amp;TEXT(INT(MOD(MOD(ROUND(MOD(E28,360)*3600,0),1296000),3600)/60),"00")&amp;"'"&amp;TEXT(MOD(MOD(ROUND(MOD(E28,360)*3600,0),1296000),60),"00")&amp;"""")</f>
        <v/>
      </c>
      <c r="G28" s="17">
        <f>IF(B28="","",2*$D$6*SIN(D28/(2*$D$6)))</f>
        <v/>
      </c>
      <c r="H28" s="17">
        <f>IF(B28="","",2*$D$6*SIN((D28-D27)/(2*$D$6)))</f>
        <v/>
      </c>
      <c r="I28" s="20">
        <f>IF(B28="","",MOD(($C$10+$D$10/60+$E$10/3600)+IF($D$9="Right",1,-1)*E28,360))</f>
        <v/>
      </c>
      <c r="J28" s="17">
        <f>IF(B28="","",$J$12+G28*COS(RADIANS(I28)))</f>
        <v/>
      </c>
      <c r="K28" s="17">
        <f>IF(B28="","",$J$13+G28*SIN(RADIANS(I28)))</f>
        <v/>
      </c>
    </row>
    <row r="29">
      <c r="A29" s="22">
        <f>IF(B29="","",IF(ABS(B29-$J$10)&lt;0.0000001,"PC",IF(ABS(B29-$J$11)&lt;0.0000001,"PT","")))</f>
        <v/>
      </c>
      <c r="B29" s="17">
        <f>IF(B28="","",IF(B28&gt;=$J$11-0.0000001,"",MIN($J$11,B28+$D$8)))</f>
        <v/>
      </c>
      <c r="C29" s="22">
        <f>IF(B29="","",INT(B29/1000)&amp;"+"&amp;TEXT(MOD(B29,1000),"000.000"))</f>
        <v/>
      </c>
      <c r="D29" s="17">
        <f>IF(B29="","",B29-$J$10)</f>
        <v/>
      </c>
      <c r="E29" s="20">
        <f>IF(B29="","",DEGREES(D29/(2*$D$6)))</f>
        <v/>
      </c>
      <c r="F29" s="22">
        <f>IF(B29="","",INT(MOD(ROUND(MOD(E29,360)*3600,0),1296000)/3600)&amp;"°"&amp;TEXT(INT(MOD(MOD(ROUND(MOD(E29,360)*3600,0),1296000),3600)/60),"00")&amp;"'"&amp;TEXT(MOD(MOD(ROUND(MOD(E29,360)*3600,0),1296000),60),"00")&amp;"""")</f>
        <v/>
      </c>
      <c r="G29" s="17">
        <f>IF(B29="","",2*$D$6*SIN(D29/(2*$D$6)))</f>
        <v/>
      </c>
      <c r="H29" s="17">
        <f>IF(B29="","",2*$D$6*SIN((D29-D28)/(2*$D$6)))</f>
        <v/>
      </c>
      <c r="I29" s="20">
        <f>IF(B29="","",MOD(($C$10+$D$10/60+$E$10/3600)+IF($D$9="Right",1,-1)*E29,360))</f>
        <v/>
      </c>
      <c r="J29" s="17">
        <f>IF(B29="","",$J$12+G29*COS(RADIANS(I29)))</f>
        <v/>
      </c>
      <c r="K29" s="17">
        <f>IF(B29="","",$J$13+G29*SIN(RADIANS(I29)))</f>
        <v/>
      </c>
    </row>
    <row r="30">
      <c r="A30" s="22">
        <f>IF(B30="","",IF(ABS(B30-$J$10)&lt;0.0000001,"PC",IF(ABS(B30-$J$11)&lt;0.0000001,"PT","")))</f>
        <v/>
      </c>
      <c r="B30" s="17">
        <f>IF(B29="","",IF(B29&gt;=$J$11-0.0000001,"",MIN($J$11,B29+$D$8)))</f>
        <v/>
      </c>
      <c r="C30" s="22">
        <f>IF(B30="","",INT(B30/1000)&amp;"+"&amp;TEXT(MOD(B30,1000),"000.000"))</f>
        <v/>
      </c>
      <c r="D30" s="17">
        <f>IF(B30="","",B30-$J$10)</f>
        <v/>
      </c>
      <c r="E30" s="20">
        <f>IF(B30="","",DEGREES(D30/(2*$D$6)))</f>
        <v/>
      </c>
      <c r="F30" s="22">
        <f>IF(B30="","",INT(MOD(ROUND(MOD(E30,360)*3600,0),1296000)/3600)&amp;"°"&amp;TEXT(INT(MOD(MOD(ROUND(MOD(E30,360)*3600,0),1296000),3600)/60),"00")&amp;"'"&amp;TEXT(MOD(MOD(ROUND(MOD(E30,360)*3600,0),1296000),60),"00")&amp;"""")</f>
        <v/>
      </c>
      <c r="G30" s="17">
        <f>IF(B30="","",2*$D$6*SIN(D30/(2*$D$6)))</f>
        <v/>
      </c>
      <c r="H30" s="17">
        <f>IF(B30="","",2*$D$6*SIN((D30-D29)/(2*$D$6)))</f>
        <v/>
      </c>
      <c r="I30" s="20">
        <f>IF(B30="","",MOD(($C$10+$D$10/60+$E$10/3600)+IF($D$9="Right",1,-1)*E30,360))</f>
        <v/>
      </c>
      <c r="J30" s="17">
        <f>IF(B30="","",$J$12+G30*COS(RADIANS(I30)))</f>
        <v/>
      </c>
      <c r="K30" s="17">
        <f>IF(B30="","",$J$13+G30*SIN(RADIANS(I30)))</f>
        <v/>
      </c>
    </row>
    <row r="31">
      <c r="A31" s="22">
        <f>IF(B31="","",IF(ABS(B31-$J$10)&lt;0.0000001,"PC",IF(ABS(B31-$J$11)&lt;0.0000001,"PT","")))</f>
        <v/>
      </c>
      <c r="B31" s="17">
        <f>IF(B30="","",IF(B30&gt;=$J$11-0.0000001,"",MIN($J$11,B30+$D$8)))</f>
        <v/>
      </c>
      <c r="C31" s="22">
        <f>IF(B31="","",INT(B31/1000)&amp;"+"&amp;TEXT(MOD(B31,1000),"000.000"))</f>
        <v/>
      </c>
      <c r="D31" s="17">
        <f>IF(B31="","",B31-$J$10)</f>
        <v/>
      </c>
      <c r="E31" s="20">
        <f>IF(B31="","",DEGREES(D31/(2*$D$6)))</f>
        <v/>
      </c>
      <c r="F31" s="22">
        <f>IF(B31="","",INT(MOD(ROUND(MOD(E31,360)*3600,0),1296000)/3600)&amp;"°"&amp;TEXT(INT(MOD(MOD(ROUND(MOD(E31,360)*3600,0),1296000),3600)/60),"00")&amp;"'"&amp;TEXT(MOD(MOD(ROUND(MOD(E31,360)*3600,0),1296000),60),"00")&amp;"""")</f>
        <v/>
      </c>
      <c r="G31" s="17">
        <f>IF(B31="","",2*$D$6*SIN(D31/(2*$D$6)))</f>
        <v/>
      </c>
      <c r="H31" s="17">
        <f>IF(B31="","",2*$D$6*SIN((D31-D30)/(2*$D$6)))</f>
        <v/>
      </c>
      <c r="I31" s="20">
        <f>IF(B31="","",MOD(($C$10+$D$10/60+$E$10/3600)+IF($D$9="Right",1,-1)*E31,360))</f>
        <v/>
      </c>
      <c r="J31" s="17">
        <f>IF(B31="","",$J$12+G31*COS(RADIANS(I31)))</f>
        <v/>
      </c>
      <c r="K31" s="17">
        <f>IF(B31="","",$J$13+G31*SIN(RADIANS(I31)))</f>
        <v/>
      </c>
    </row>
    <row r="32">
      <c r="A32" s="22">
        <f>IF(B32="","",IF(ABS(B32-$J$10)&lt;0.0000001,"PC",IF(ABS(B32-$J$11)&lt;0.0000001,"PT","")))</f>
        <v/>
      </c>
      <c r="B32" s="17">
        <f>IF(B31="","",IF(B31&gt;=$J$11-0.0000001,"",MIN($J$11,B31+$D$8)))</f>
        <v/>
      </c>
      <c r="C32" s="22">
        <f>IF(B32="","",INT(B32/1000)&amp;"+"&amp;TEXT(MOD(B32,1000),"000.000"))</f>
        <v/>
      </c>
      <c r="D32" s="17">
        <f>IF(B32="","",B32-$J$10)</f>
        <v/>
      </c>
      <c r="E32" s="20">
        <f>IF(B32="","",DEGREES(D32/(2*$D$6)))</f>
        <v/>
      </c>
      <c r="F32" s="22">
        <f>IF(B32="","",INT(MOD(ROUND(MOD(E32,360)*3600,0),1296000)/3600)&amp;"°"&amp;TEXT(INT(MOD(MOD(ROUND(MOD(E32,360)*3600,0),1296000),3600)/60),"00")&amp;"'"&amp;TEXT(MOD(MOD(ROUND(MOD(E32,360)*3600,0),1296000),60),"00")&amp;"""")</f>
        <v/>
      </c>
      <c r="G32" s="17">
        <f>IF(B32="","",2*$D$6*SIN(D32/(2*$D$6)))</f>
        <v/>
      </c>
      <c r="H32" s="17">
        <f>IF(B32="","",2*$D$6*SIN((D32-D31)/(2*$D$6)))</f>
        <v/>
      </c>
      <c r="I32" s="20">
        <f>IF(B32="","",MOD(($C$10+$D$10/60+$E$10/3600)+IF($D$9="Right",1,-1)*E32,360))</f>
        <v/>
      </c>
      <c r="J32" s="17">
        <f>IF(B32="","",$J$12+G32*COS(RADIANS(I32)))</f>
        <v/>
      </c>
      <c r="K32" s="17">
        <f>IF(B32="","",$J$13+G32*SIN(RADIANS(I32)))</f>
        <v/>
      </c>
    </row>
    <row r="33">
      <c r="A33" s="22">
        <f>IF(B33="","",IF(ABS(B33-$J$10)&lt;0.0000001,"PC",IF(ABS(B33-$J$11)&lt;0.0000001,"PT","")))</f>
        <v/>
      </c>
      <c r="B33" s="17">
        <f>IF(B32="","",IF(B32&gt;=$J$11-0.0000001,"",MIN($J$11,B32+$D$8)))</f>
        <v/>
      </c>
      <c r="C33" s="22">
        <f>IF(B33="","",INT(B33/1000)&amp;"+"&amp;TEXT(MOD(B33,1000),"000.000"))</f>
        <v/>
      </c>
      <c r="D33" s="17">
        <f>IF(B33="","",B33-$J$10)</f>
        <v/>
      </c>
      <c r="E33" s="20">
        <f>IF(B33="","",DEGREES(D33/(2*$D$6)))</f>
        <v/>
      </c>
      <c r="F33" s="22">
        <f>IF(B33="","",INT(MOD(ROUND(MOD(E33,360)*3600,0),1296000)/3600)&amp;"°"&amp;TEXT(INT(MOD(MOD(ROUND(MOD(E33,360)*3600,0),1296000),3600)/60),"00")&amp;"'"&amp;TEXT(MOD(MOD(ROUND(MOD(E33,360)*3600,0),1296000),60),"00")&amp;"""")</f>
        <v/>
      </c>
      <c r="G33" s="17">
        <f>IF(B33="","",2*$D$6*SIN(D33/(2*$D$6)))</f>
        <v/>
      </c>
      <c r="H33" s="17">
        <f>IF(B33="","",2*$D$6*SIN((D33-D32)/(2*$D$6)))</f>
        <v/>
      </c>
      <c r="I33" s="20">
        <f>IF(B33="","",MOD(($C$10+$D$10/60+$E$10/3600)+IF($D$9="Right",1,-1)*E33,360))</f>
        <v/>
      </c>
      <c r="J33" s="17">
        <f>IF(B33="","",$J$12+G33*COS(RADIANS(I33)))</f>
        <v/>
      </c>
      <c r="K33" s="17">
        <f>IF(B33="","",$J$13+G33*SIN(RADIANS(I33)))</f>
        <v/>
      </c>
    </row>
    <row r="34">
      <c r="A34" s="22">
        <f>IF(B34="","",IF(ABS(B34-$J$10)&lt;0.0000001,"PC",IF(ABS(B34-$J$11)&lt;0.0000001,"PT","")))</f>
        <v/>
      </c>
      <c r="B34" s="17">
        <f>IF(B33="","",IF(B33&gt;=$J$11-0.0000001,"",MIN($J$11,B33+$D$8)))</f>
        <v/>
      </c>
      <c r="C34" s="22">
        <f>IF(B34="","",INT(B34/1000)&amp;"+"&amp;TEXT(MOD(B34,1000),"000.000"))</f>
        <v/>
      </c>
      <c r="D34" s="17">
        <f>IF(B34="","",B34-$J$10)</f>
        <v/>
      </c>
      <c r="E34" s="20">
        <f>IF(B34="","",DEGREES(D34/(2*$D$6)))</f>
        <v/>
      </c>
      <c r="F34" s="22">
        <f>IF(B34="","",INT(MOD(ROUND(MOD(E34,360)*3600,0),1296000)/3600)&amp;"°"&amp;TEXT(INT(MOD(MOD(ROUND(MOD(E34,360)*3600,0),1296000),3600)/60),"00")&amp;"'"&amp;TEXT(MOD(MOD(ROUND(MOD(E34,360)*3600,0),1296000),60),"00")&amp;"""")</f>
        <v/>
      </c>
      <c r="G34" s="17">
        <f>IF(B34="","",2*$D$6*SIN(D34/(2*$D$6)))</f>
        <v/>
      </c>
      <c r="H34" s="17">
        <f>IF(B34="","",2*$D$6*SIN((D34-D33)/(2*$D$6)))</f>
        <v/>
      </c>
      <c r="I34" s="20">
        <f>IF(B34="","",MOD(($C$10+$D$10/60+$E$10/3600)+IF($D$9="Right",1,-1)*E34,360))</f>
        <v/>
      </c>
      <c r="J34" s="17">
        <f>IF(B34="","",$J$12+G34*COS(RADIANS(I34)))</f>
        <v/>
      </c>
      <c r="K34" s="17">
        <f>IF(B34="","",$J$13+G34*SIN(RADIANS(I34)))</f>
        <v/>
      </c>
    </row>
    <row r="35">
      <c r="A35" s="22">
        <f>IF(B35="","",IF(ABS(B35-$J$10)&lt;0.0000001,"PC",IF(ABS(B35-$J$11)&lt;0.0000001,"PT","")))</f>
        <v/>
      </c>
      <c r="B35" s="17">
        <f>IF(B34="","",IF(B34&gt;=$J$11-0.0000001,"",MIN($J$11,B34+$D$8)))</f>
        <v/>
      </c>
      <c r="C35" s="22">
        <f>IF(B35="","",INT(B35/1000)&amp;"+"&amp;TEXT(MOD(B35,1000),"000.000"))</f>
        <v/>
      </c>
      <c r="D35" s="17">
        <f>IF(B35="","",B35-$J$10)</f>
        <v/>
      </c>
      <c r="E35" s="20">
        <f>IF(B35="","",DEGREES(D35/(2*$D$6)))</f>
        <v/>
      </c>
      <c r="F35" s="22">
        <f>IF(B35="","",INT(MOD(ROUND(MOD(E35,360)*3600,0),1296000)/3600)&amp;"°"&amp;TEXT(INT(MOD(MOD(ROUND(MOD(E35,360)*3600,0),1296000),3600)/60),"00")&amp;"'"&amp;TEXT(MOD(MOD(ROUND(MOD(E35,360)*3600,0),1296000),60),"00")&amp;"""")</f>
        <v/>
      </c>
      <c r="G35" s="17">
        <f>IF(B35="","",2*$D$6*SIN(D35/(2*$D$6)))</f>
        <v/>
      </c>
      <c r="H35" s="17">
        <f>IF(B35="","",2*$D$6*SIN((D35-D34)/(2*$D$6)))</f>
        <v/>
      </c>
      <c r="I35" s="20">
        <f>IF(B35="","",MOD(($C$10+$D$10/60+$E$10/3600)+IF($D$9="Right",1,-1)*E35,360))</f>
        <v/>
      </c>
      <c r="J35" s="17">
        <f>IF(B35="","",$J$12+G35*COS(RADIANS(I35)))</f>
        <v/>
      </c>
      <c r="K35" s="17">
        <f>IF(B35="","",$J$13+G35*SIN(RADIANS(I35)))</f>
        <v/>
      </c>
    </row>
    <row r="36">
      <c r="A36" s="22">
        <f>IF(B36="","",IF(ABS(B36-$J$10)&lt;0.0000001,"PC",IF(ABS(B36-$J$11)&lt;0.0000001,"PT","")))</f>
        <v/>
      </c>
      <c r="B36" s="17">
        <f>IF(B35="","",IF(B35&gt;=$J$11-0.0000001,"",MIN($J$11,B35+$D$8)))</f>
        <v/>
      </c>
      <c r="C36" s="22">
        <f>IF(B36="","",INT(B36/1000)&amp;"+"&amp;TEXT(MOD(B36,1000),"000.000"))</f>
        <v/>
      </c>
      <c r="D36" s="17">
        <f>IF(B36="","",B36-$J$10)</f>
        <v/>
      </c>
      <c r="E36" s="20">
        <f>IF(B36="","",DEGREES(D36/(2*$D$6)))</f>
        <v/>
      </c>
      <c r="F36" s="22">
        <f>IF(B36="","",INT(MOD(ROUND(MOD(E36,360)*3600,0),1296000)/3600)&amp;"°"&amp;TEXT(INT(MOD(MOD(ROUND(MOD(E36,360)*3600,0),1296000),3600)/60),"00")&amp;"'"&amp;TEXT(MOD(MOD(ROUND(MOD(E36,360)*3600,0),1296000),60),"00")&amp;"""")</f>
        <v/>
      </c>
      <c r="G36" s="17">
        <f>IF(B36="","",2*$D$6*SIN(D36/(2*$D$6)))</f>
        <v/>
      </c>
      <c r="H36" s="17">
        <f>IF(B36="","",2*$D$6*SIN((D36-D35)/(2*$D$6)))</f>
        <v/>
      </c>
      <c r="I36" s="20">
        <f>IF(B36="","",MOD(($C$10+$D$10/60+$E$10/3600)+IF($D$9="Right",1,-1)*E36,360))</f>
        <v/>
      </c>
      <c r="J36" s="17">
        <f>IF(B36="","",$J$12+G36*COS(RADIANS(I36)))</f>
        <v/>
      </c>
      <c r="K36" s="17">
        <f>IF(B36="","",$J$13+G36*SIN(RADIANS(I36)))</f>
        <v/>
      </c>
    </row>
    <row r="37">
      <c r="A37" s="22">
        <f>IF(B37="","",IF(ABS(B37-$J$10)&lt;0.0000001,"PC",IF(ABS(B37-$J$11)&lt;0.0000001,"PT","")))</f>
        <v/>
      </c>
      <c r="B37" s="17">
        <f>IF(B36="","",IF(B36&gt;=$J$11-0.0000001,"",MIN($J$11,B36+$D$8)))</f>
        <v/>
      </c>
      <c r="C37" s="22">
        <f>IF(B37="","",INT(B37/1000)&amp;"+"&amp;TEXT(MOD(B37,1000),"000.000"))</f>
        <v/>
      </c>
      <c r="D37" s="17">
        <f>IF(B37="","",B37-$J$10)</f>
        <v/>
      </c>
      <c r="E37" s="20">
        <f>IF(B37="","",DEGREES(D37/(2*$D$6)))</f>
        <v/>
      </c>
      <c r="F37" s="22">
        <f>IF(B37="","",INT(MOD(ROUND(MOD(E37,360)*3600,0),1296000)/3600)&amp;"°"&amp;TEXT(INT(MOD(MOD(ROUND(MOD(E37,360)*3600,0),1296000),3600)/60),"00")&amp;"'"&amp;TEXT(MOD(MOD(ROUND(MOD(E37,360)*3600,0),1296000),60),"00")&amp;"""")</f>
        <v/>
      </c>
      <c r="G37" s="17">
        <f>IF(B37="","",2*$D$6*SIN(D37/(2*$D$6)))</f>
        <v/>
      </c>
      <c r="H37" s="17">
        <f>IF(B37="","",2*$D$6*SIN((D37-D36)/(2*$D$6)))</f>
        <v/>
      </c>
      <c r="I37" s="20">
        <f>IF(B37="","",MOD(($C$10+$D$10/60+$E$10/3600)+IF($D$9="Right",1,-1)*E37,360))</f>
        <v/>
      </c>
      <c r="J37" s="17">
        <f>IF(B37="","",$J$12+G37*COS(RADIANS(I37)))</f>
        <v/>
      </c>
      <c r="K37" s="17">
        <f>IF(B37="","",$J$13+G37*SIN(RADIANS(I37)))</f>
        <v/>
      </c>
    </row>
    <row r="38">
      <c r="A38" s="22">
        <f>IF(B38="","",IF(ABS(B38-$J$10)&lt;0.0000001,"PC",IF(ABS(B38-$J$11)&lt;0.0000001,"PT","")))</f>
        <v/>
      </c>
      <c r="B38" s="17">
        <f>IF(B37="","",IF(B37&gt;=$J$11-0.0000001,"",MIN($J$11,B37+$D$8)))</f>
        <v/>
      </c>
      <c r="C38" s="22">
        <f>IF(B38="","",INT(B38/1000)&amp;"+"&amp;TEXT(MOD(B38,1000),"000.000"))</f>
        <v/>
      </c>
      <c r="D38" s="17">
        <f>IF(B38="","",B38-$J$10)</f>
        <v/>
      </c>
      <c r="E38" s="20">
        <f>IF(B38="","",DEGREES(D38/(2*$D$6)))</f>
        <v/>
      </c>
      <c r="F38" s="22">
        <f>IF(B38="","",INT(MOD(ROUND(MOD(E38,360)*3600,0),1296000)/3600)&amp;"°"&amp;TEXT(INT(MOD(MOD(ROUND(MOD(E38,360)*3600,0),1296000),3600)/60),"00")&amp;"'"&amp;TEXT(MOD(MOD(ROUND(MOD(E38,360)*3600,0),1296000),60),"00")&amp;"""")</f>
        <v/>
      </c>
      <c r="G38" s="17">
        <f>IF(B38="","",2*$D$6*SIN(D38/(2*$D$6)))</f>
        <v/>
      </c>
      <c r="H38" s="17">
        <f>IF(B38="","",2*$D$6*SIN((D38-D37)/(2*$D$6)))</f>
        <v/>
      </c>
      <c r="I38" s="20">
        <f>IF(B38="","",MOD(($C$10+$D$10/60+$E$10/3600)+IF($D$9="Right",1,-1)*E38,360))</f>
        <v/>
      </c>
      <c r="J38" s="17">
        <f>IF(B38="","",$J$12+G38*COS(RADIANS(I38)))</f>
        <v/>
      </c>
      <c r="K38" s="17">
        <f>IF(B38="","",$J$13+G38*SIN(RADIANS(I38)))</f>
        <v/>
      </c>
    </row>
    <row r="39">
      <c r="A39" s="22">
        <f>IF(B39="","",IF(ABS(B39-$J$10)&lt;0.0000001,"PC",IF(ABS(B39-$J$11)&lt;0.0000001,"PT","")))</f>
        <v/>
      </c>
      <c r="B39" s="17">
        <f>IF(B38="","",IF(B38&gt;=$J$11-0.0000001,"",MIN($J$11,B38+$D$8)))</f>
        <v/>
      </c>
      <c r="C39" s="22">
        <f>IF(B39="","",INT(B39/1000)&amp;"+"&amp;TEXT(MOD(B39,1000),"000.000"))</f>
        <v/>
      </c>
      <c r="D39" s="17">
        <f>IF(B39="","",B39-$J$10)</f>
        <v/>
      </c>
      <c r="E39" s="20">
        <f>IF(B39="","",DEGREES(D39/(2*$D$6)))</f>
        <v/>
      </c>
      <c r="F39" s="22">
        <f>IF(B39="","",INT(MOD(ROUND(MOD(E39,360)*3600,0),1296000)/3600)&amp;"°"&amp;TEXT(INT(MOD(MOD(ROUND(MOD(E39,360)*3600,0),1296000),3600)/60),"00")&amp;"'"&amp;TEXT(MOD(MOD(ROUND(MOD(E39,360)*3600,0),1296000),60),"00")&amp;"""")</f>
        <v/>
      </c>
      <c r="G39" s="17">
        <f>IF(B39="","",2*$D$6*SIN(D39/(2*$D$6)))</f>
        <v/>
      </c>
      <c r="H39" s="17">
        <f>IF(B39="","",2*$D$6*SIN((D39-D38)/(2*$D$6)))</f>
        <v/>
      </c>
      <c r="I39" s="20">
        <f>IF(B39="","",MOD(($C$10+$D$10/60+$E$10/3600)+IF($D$9="Right",1,-1)*E39,360))</f>
        <v/>
      </c>
      <c r="J39" s="17">
        <f>IF(B39="","",$J$12+G39*COS(RADIANS(I39)))</f>
        <v/>
      </c>
      <c r="K39" s="17">
        <f>IF(B39="","",$J$13+G39*SIN(RADIANS(I39)))</f>
        <v/>
      </c>
    </row>
    <row r="40">
      <c r="A40" s="22">
        <f>IF(B40="","",IF(ABS(B40-$J$10)&lt;0.0000001,"PC",IF(ABS(B40-$J$11)&lt;0.0000001,"PT","")))</f>
        <v/>
      </c>
      <c r="B40" s="17">
        <f>IF(B39="","",IF(B39&gt;=$J$11-0.0000001,"",MIN($J$11,B39+$D$8)))</f>
        <v/>
      </c>
      <c r="C40" s="22">
        <f>IF(B40="","",INT(B40/1000)&amp;"+"&amp;TEXT(MOD(B40,1000),"000.000"))</f>
        <v/>
      </c>
      <c r="D40" s="17">
        <f>IF(B40="","",B40-$J$10)</f>
        <v/>
      </c>
      <c r="E40" s="20">
        <f>IF(B40="","",DEGREES(D40/(2*$D$6)))</f>
        <v/>
      </c>
      <c r="F40" s="22">
        <f>IF(B40="","",INT(MOD(ROUND(MOD(E40,360)*3600,0),1296000)/3600)&amp;"°"&amp;TEXT(INT(MOD(MOD(ROUND(MOD(E40,360)*3600,0),1296000),3600)/60),"00")&amp;"'"&amp;TEXT(MOD(MOD(ROUND(MOD(E40,360)*3600,0),1296000),60),"00")&amp;"""")</f>
        <v/>
      </c>
      <c r="G40" s="17">
        <f>IF(B40="","",2*$D$6*SIN(D40/(2*$D$6)))</f>
        <v/>
      </c>
      <c r="H40" s="17">
        <f>IF(B40="","",2*$D$6*SIN((D40-D39)/(2*$D$6)))</f>
        <v/>
      </c>
      <c r="I40" s="20">
        <f>IF(B40="","",MOD(($C$10+$D$10/60+$E$10/3600)+IF($D$9="Right",1,-1)*E40,360))</f>
        <v/>
      </c>
      <c r="J40" s="17">
        <f>IF(B40="","",$J$12+G40*COS(RADIANS(I40)))</f>
        <v/>
      </c>
      <c r="K40" s="17">
        <f>IF(B40="","",$J$13+G40*SIN(RADIANS(I40)))</f>
        <v/>
      </c>
    </row>
    <row r="41">
      <c r="A41" s="22">
        <f>IF(B41="","",IF(ABS(B41-$J$10)&lt;0.0000001,"PC",IF(ABS(B41-$J$11)&lt;0.0000001,"PT","")))</f>
        <v/>
      </c>
      <c r="B41" s="17">
        <f>IF(B40="","",IF(B40&gt;=$J$11-0.0000001,"",MIN($J$11,B40+$D$8)))</f>
        <v/>
      </c>
      <c r="C41" s="22">
        <f>IF(B41="","",INT(B41/1000)&amp;"+"&amp;TEXT(MOD(B41,1000),"000.000"))</f>
        <v/>
      </c>
      <c r="D41" s="17">
        <f>IF(B41="","",B41-$J$10)</f>
        <v/>
      </c>
      <c r="E41" s="20">
        <f>IF(B41="","",DEGREES(D41/(2*$D$6)))</f>
        <v/>
      </c>
      <c r="F41" s="22">
        <f>IF(B41="","",INT(MOD(ROUND(MOD(E41,360)*3600,0),1296000)/3600)&amp;"°"&amp;TEXT(INT(MOD(MOD(ROUND(MOD(E41,360)*3600,0),1296000),3600)/60),"00")&amp;"'"&amp;TEXT(MOD(MOD(ROUND(MOD(E41,360)*3600,0),1296000),60),"00")&amp;"""")</f>
        <v/>
      </c>
      <c r="G41" s="17">
        <f>IF(B41="","",2*$D$6*SIN(D41/(2*$D$6)))</f>
        <v/>
      </c>
      <c r="H41" s="17">
        <f>IF(B41="","",2*$D$6*SIN((D41-D40)/(2*$D$6)))</f>
        <v/>
      </c>
      <c r="I41" s="20">
        <f>IF(B41="","",MOD(($C$10+$D$10/60+$E$10/3600)+IF($D$9="Right",1,-1)*E41,360))</f>
        <v/>
      </c>
      <c r="J41" s="17">
        <f>IF(B41="","",$J$12+G41*COS(RADIANS(I41)))</f>
        <v/>
      </c>
      <c r="K41" s="17">
        <f>IF(B41="","",$J$13+G41*SIN(RADIANS(I41)))</f>
        <v/>
      </c>
    </row>
    <row r="42">
      <c r="A42" s="22">
        <f>IF(B42="","",IF(ABS(B42-$J$10)&lt;0.0000001,"PC",IF(ABS(B42-$J$11)&lt;0.0000001,"PT","")))</f>
        <v/>
      </c>
      <c r="B42" s="17">
        <f>IF(B41="","",IF(B41&gt;=$J$11-0.0000001,"",MIN($J$11,B41+$D$8)))</f>
        <v/>
      </c>
      <c r="C42" s="22">
        <f>IF(B42="","",INT(B42/1000)&amp;"+"&amp;TEXT(MOD(B42,1000),"000.000"))</f>
        <v/>
      </c>
      <c r="D42" s="17">
        <f>IF(B42="","",B42-$J$10)</f>
        <v/>
      </c>
      <c r="E42" s="20">
        <f>IF(B42="","",DEGREES(D42/(2*$D$6)))</f>
        <v/>
      </c>
      <c r="F42" s="22">
        <f>IF(B42="","",INT(MOD(ROUND(MOD(E42,360)*3600,0),1296000)/3600)&amp;"°"&amp;TEXT(INT(MOD(MOD(ROUND(MOD(E42,360)*3600,0),1296000),3600)/60),"00")&amp;"'"&amp;TEXT(MOD(MOD(ROUND(MOD(E42,360)*3600,0),1296000),60),"00")&amp;"""")</f>
        <v/>
      </c>
      <c r="G42" s="17">
        <f>IF(B42="","",2*$D$6*SIN(D42/(2*$D$6)))</f>
        <v/>
      </c>
      <c r="H42" s="17">
        <f>IF(B42="","",2*$D$6*SIN((D42-D41)/(2*$D$6)))</f>
        <v/>
      </c>
      <c r="I42" s="20">
        <f>IF(B42="","",MOD(($C$10+$D$10/60+$E$10/3600)+IF($D$9="Right",1,-1)*E42,360))</f>
        <v/>
      </c>
      <c r="J42" s="17">
        <f>IF(B42="","",$J$12+G42*COS(RADIANS(I42)))</f>
        <v/>
      </c>
      <c r="K42" s="17">
        <f>IF(B42="","",$J$13+G42*SIN(RADIANS(I42)))</f>
        <v/>
      </c>
    </row>
    <row r="43">
      <c r="A43" s="22">
        <f>IF(B43="","",IF(ABS(B43-$J$10)&lt;0.0000001,"PC",IF(ABS(B43-$J$11)&lt;0.0000001,"PT","")))</f>
        <v/>
      </c>
      <c r="B43" s="17">
        <f>IF(B42="","",IF(B42&gt;=$J$11-0.0000001,"",MIN($J$11,B42+$D$8)))</f>
        <v/>
      </c>
      <c r="C43" s="22">
        <f>IF(B43="","",INT(B43/1000)&amp;"+"&amp;TEXT(MOD(B43,1000),"000.000"))</f>
        <v/>
      </c>
      <c r="D43" s="17">
        <f>IF(B43="","",B43-$J$10)</f>
        <v/>
      </c>
      <c r="E43" s="20">
        <f>IF(B43="","",DEGREES(D43/(2*$D$6)))</f>
        <v/>
      </c>
      <c r="F43" s="22">
        <f>IF(B43="","",INT(MOD(ROUND(MOD(E43,360)*3600,0),1296000)/3600)&amp;"°"&amp;TEXT(INT(MOD(MOD(ROUND(MOD(E43,360)*3600,0),1296000),3600)/60),"00")&amp;"'"&amp;TEXT(MOD(MOD(ROUND(MOD(E43,360)*3600,0),1296000),60),"00")&amp;"""")</f>
        <v/>
      </c>
      <c r="G43" s="17">
        <f>IF(B43="","",2*$D$6*SIN(D43/(2*$D$6)))</f>
        <v/>
      </c>
      <c r="H43" s="17">
        <f>IF(B43="","",2*$D$6*SIN((D43-D42)/(2*$D$6)))</f>
        <v/>
      </c>
      <c r="I43" s="20">
        <f>IF(B43="","",MOD(($C$10+$D$10/60+$E$10/3600)+IF($D$9="Right",1,-1)*E43,360))</f>
        <v/>
      </c>
      <c r="J43" s="17">
        <f>IF(B43="","",$J$12+G43*COS(RADIANS(I43)))</f>
        <v/>
      </c>
      <c r="K43" s="17">
        <f>IF(B43="","",$J$13+G43*SIN(RADIANS(I43)))</f>
        <v/>
      </c>
    </row>
    <row r="44">
      <c r="A44" s="22">
        <f>IF(B44="","",IF(ABS(B44-$J$10)&lt;0.0000001,"PC",IF(ABS(B44-$J$11)&lt;0.0000001,"PT","")))</f>
        <v/>
      </c>
      <c r="B44" s="17">
        <f>IF(B43="","",IF(B43&gt;=$J$11-0.0000001,"",MIN($J$11,B43+$D$8)))</f>
        <v/>
      </c>
      <c r="C44" s="22">
        <f>IF(B44="","",INT(B44/1000)&amp;"+"&amp;TEXT(MOD(B44,1000),"000.000"))</f>
        <v/>
      </c>
      <c r="D44" s="17">
        <f>IF(B44="","",B44-$J$10)</f>
        <v/>
      </c>
      <c r="E44" s="20">
        <f>IF(B44="","",DEGREES(D44/(2*$D$6)))</f>
        <v/>
      </c>
      <c r="F44" s="22">
        <f>IF(B44="","",INT(MOD(ROUND(MOD(E44,360)*3600,0),1296000)/3600)&amp;"°"&amp;TEXT(INT(MOD(MOD(ROUND(MOD(E44,360)*3600,0),1296000),3600)/60),"00")&amp;"'"&amp;TEXT(MOD(MOD(ROUND(MOD(E44,360)*3600,0),1296000),60),"00")&amp;"""")</f>
        <v/>
      </c>
      <c r="G44" s="17">
        <f>IF(B44="","",2*$D$6*SIN(D44/(2*$D$6)))</f>
        <v/>
      </c>
      <c r="H44" s="17">
        <f>IF(B44="","",2*$D$6*SIN((D44-D43)/(2*$D$6)))</f>
        <v/>
      </c>
      <c r="I44" s="20">
        <f>IF(B44="","",MOD(($C$10+$D$10/60+$E$10/3600)+IF($D$9="Right",1,-1)*E44,360))</f>
        <v/>
      </c>
      <c r="J44" s="17">
        <f>IF(B44="","",$J$12+G44*COS(RADIANS(I44)))</f>
        <v/>
      </c>
      <c r="K44" s="17">
        <f>IF(B44="","",$J$13+G44*SIN(RADIANS(I44)))</f>
        <v/>
      </c>
    </row>
    <row r="45">
      <c r="A45" s="22">
        <f>IF(B45="","",IF(ABS(B45-$J$10)&lt;0.0000001,"PC",IF(ABS(B45-$J$11)&lt;0.0000001,"PT","")))</f>
        <v/>
      </c>
      <c r="B45" s="17">
        <f>IF(B44="","",IF(B44&gt;=$J$11-0.0000001,"",MIN($J$11,B44+$D$8)))</f>
        <v/>
      </c>
      <c r="C45" s="22">
        <f>IF(B45="","",INT(B45/1000)&amp;"+"&amp;TEXT(MOD(B45,1000),"000.000"))</f>
        <v/>
      </c>
      <c r="D45" s="17">
        <f>IF(B45="","",B45-$J$10)</f>
        <v/>
      </c>
      <c r="E45" s="20">
        <f>IF(B45="","",DEGREES(D45/(2*$D$6)))</f>
        <v/>
      </c>
      <c r="F45" s="22">
        <f>IF(B45="","",INT(MOD(ROUND(MOD(E45,360)*3600,0),1296000)/3600)&amp;"°"&amp;TEXT(INT(MOD(MOD(ROUND(MOD(E45,360)*3600,0),1296000),3600)/60),"00")&amp;"'"&amp;TEXT(MOD(MOD(ROUND(MOD(E45,360)*3600,0),1296000),60),"00")&amp;"""")</f>
        <v/>
      </c>
      <c r="G45" s="17">
        <f>IF(B45="","",2*$D$6*SIN(D45/(2*$D$6)))</f>
        <v/>
      </c>
      <c r="H45" s="17">
        <f>IF(B45="","",2*$D$6*SIN((D45-D44)/(2*$D$6)))</f>
        <v/>
      </c>
      <c r="I45" s="20">
        <f>IF(B45="","",MOD(($C$10+$D$10/60+$E$10/3600)+IF($D$9="Right",1,-1)*E45,360))</f>
        <v/>
      </c>
      <c r="J45" s="17">
        <f>IF(B45="","",$J$12+G45*COS(RADIANS(I45)))</f>
        <v/>
      </c>
      <c r="K45" s="17">
        <f>IF(B45="","",$J$13+G45*SIN(RADIANS(I45)))</f>
        <v/>
      </c>
    </row>
    <row r="46">
      <c r="A46" s="22">
        <f>IF(B46="","",IF(ABS(B46-$J$10)&lt;0.0000001,"PC",IF(ABS(B46-$J$11)&lt;0.0000001,"PT","")))</f>
        <v/>
      </c>
      <c r="B46" s="17">
        <f>IF(B45="","",IF(B45&gt;=$J$11-0.0000001,"",MIN($J$11,B45+$D$8)))</f>
        <v/>
      </c>
      <c r="C46" s="22">
        <f>IF(B46="","",INT(B46/1000)&amp;"+"&amp;TEXT(MOD(B46,1000),"000.000"))</f>
        <v/>
      </c>
      <c r="D46" s="17">
        <f>IF(B46="","",B46-$J$10)</f>
        <v/>
      </c>
      <c r="E46" s="20">
        <f>IF(B46="","",DEGREES(D46/(2*$D$6)))</f>
        <v/>
      </c>
      <c r="F46" s="22">
        <f>IF(B46="","",INT(MOD(ROUND(MOD(E46,360)*3600,0),1296000)/3600)&amp;"°"&amp;TEXT(INT(MOD(MOD(ROUND(MOD(E46,360)*3600,0),1296000),3600)/60),"00")&amp;"'"&amp;TEXT(MOD(MOD(ROUND(MOD(E46,360)*3600,0),1296000),60),"00")&amp;"""")</f>
        <v/>
      </c>
      <c r="G46" s="17">
        <f>IF(B46="","",2*$D$6*SIN(D46/(2*$D$6)))</f>
        <v/>
      </c>
      <c r="H46" s="17">
        <f>IF(B46="","",2*$D$6*SIN((D46-D45)/(2*$D$6)))</f>
        <v/>
      </c>
      <c r="I46" s="20">
        <f>IF(B46="","",MOD(($C$10+$D$10/60+$E$10/3600)+IF($D$9="Right",1,-1)*E46,360))</f>
        <v/>
      </c>
      <c r="J46" s="17">
        <f>IF(B46="","",$J$12+G46*COS(RADIANS(I46)))</f>
        <v/>
      </c>
      <c r="K46" s="17">
        <f>IF(B46="","",$J$13+G46*SIN(RADIANS(I46)))</f>
        <v/>
      </c>
    </row>
    <row r="47">
      <c r="A47" s="22">
        <f>IF(B47="","",IF(ABS(B47-$J$10)&lt;0.0000001,"PC",IF(ABS(B47-$J$11)&lt;0.0000001,"PT","")))</f>
        <v/>
      </c>
      <c r="B47" s="17">
        <f>IF(B46="","",IF(B46&gt;=$J$11-0.0000001,"",MIN($J$11,B46+$D$8)))</f>
        <v/>
      </c>
      <c r="C47" s="22">
        <f>IF(B47="","",INT(B47/1000)&amp;"+"&amp;TEXT(MOD(B47,1000),"000.000"))</f>
        <v/>
      </c>
      <c r="D47" s="17">
        <f>IF(B47="","",B47-$J$10)</f>
        <v/>
      </c>
      <c r="E47" s="20">
        <f>IF(B47="","",DEGREES(D47/(2*$D$6)))</f>
        <v/>
      </c>
      <c r="F47" s="22">
        <f>IF(B47="","",INT(MOD(ROUND(MOD(E47,360)*3600,0),1296000)/3600)&amp;"°"&amp;TEXT(INT(MOD(MOD(ROUND(MOD(E47,360)*3600,0),1296000),3600)/60),"00")&amp;"'"&amp;TEXT(MOD(MOD(ROUND(MOD(E47,360)*3600,0),1296000),60),"00")&amp;"""")</f>
        <v/>
      </c>
      <c r="G47" s="17">
        <f>IF(B47="","",2*$D$6*SIN(D47/(2*$D$6)))</f>
        <v/>
      </c>
      <c r="H47" s="17">
        <f>IF(B47="","",2*$D$6*SIN((D47-D46)/(2*$D$6)))</f>
        <v/>
      </c>
      <c r="I47" s="20">
        <f>IF(B47="","",MOD(($C$10+$D$10/60+$E$10/3600)+IF($D$9="Right",1,-1)*E47,360))</f>
        <v/>
      </c>
      <c r="J47" s="17">
        <f>IF(B47="","",$J$12+G47*COS(RADIANS(I47)))</f>
        <v/>
      </c>
      <c r="K47" s="17">
        <f>IF(B47="","",$J$13+G47*SIN(RADIANS(I47)))</f>
        <v/>
      </c>
    </row>
    <row r="48">
      <c r="A48" s="22">
        <f>IF(B48="","",IF(ABS(B48-$J$10)&lt;0.0000001,"PC",IF(ABS(B48-$J$11)&lt;0.0000001,"PT","")))</f>
        <v/>
      </c>
      <c r="B48" s="17">
        <f>IF(B47="","",IF(B47&gt;=$J$11-0.0000001,"",MIN($J$11,B47+$D$8)))</f>
        <v/>
      </c>
      <c r="C48" s="22">
        <f>IF(B48="","",INT(B48/1000)&amp;"+"&amp;TEXT(MOD(B48,1000),"000.000"))</f>
        <v/>
      </c>
      <c r="D48" s="17">
        <f>IF(B48="","",B48-$J$10)</f>
        <v/>
      </c>
      <c r="E48" s="20">
        <f>IF(B48="","",DEGREES(D48/(2*$D$6)))</f>
        <v/>
      </c>
      <c r="F48" s="22">
        <f>IF(B48="","",INT(MOD(ROUND(MOD(E48,360)*3600,0),1296000)/3600)&amp;"°"&amp;TEXT(INT(MOD(MOD(ROUND(MOD(E48,360)*3600,0),1296000),3600)/60),"00")&amp;"'"&amp;TEXT(MOD(MOD(ROUND(MOD(E48,360)*3600,0),1296000),60),"00")&amp;"""")</f>
        <v/>
      </c>
      <c r="G48" s="17">
        <f>IF(B48="","",2*$D$6*SIN(D48/(2*$D$6)))</f>
        <v/>
      </c>
      <c r="H48" s="17">
        <f>IF(B48="","",2*$D$6*SIN((D48-D47)/(2*$D$6)))</f>
        <v/>
      </c>
      <c r="I48" s="20">
        <f>IF(B48="","",MOD(($C$10+$D$10/60+$E$10/3600)+IF($D$9="Right",1,-1)*E48,360))</f>
        <v/>
      </c>
      <c r="J48" s="17">
        <f>IF(B48="","",$J$12+G48*COS(RADIANS(I48)))</f>
        <v/>
      </c>
      <c r="K48" s="17">
        <f>IF(B48="","",$J$13+G48*SIN(RADIANS(I48)))</f>
        <v/>
      </c>
    </row>
    <row r="49">
      <c r="A49" s="22">
        <f>IF(B49="","",IF(ABS(B49-$J$10)&lt;0.0000001,"PC",IF(ABS(B49-$J$11)&lt;0.0000001,"PT","")))</f>
        <v/>
      </c>
      <c r="B49" s="17">
        <f>IF(B48="","",IF(B48&gt;=$J$11-0.0000001,"",MIN($J$11,B48+$D$8)))</f>
        <v/>
      </c>
      <c r="C49" s="22">
        <f>IF(B49="","",INT(B49/1000)&amp;"+"&amp;TEXT(MOD(B49,1000),"000.000"))</f>
        <v/>
      </c>
      <c r="D49" s="17">
        <f>IF(B49="","",B49-$J$10)</f>
        <v/>
      </c>
      <c r="E49" s="20">
        <f>IF(B49="","",DEGREES(D49/(2*$D$6)))</f>
        <v/>
      </c>
      <c r="F49" s="22">
        <f>IF(B49="","",INT(MOD(ROUND(MOD(E49,360)*3600,0),1296000)/3600)&amp;"°"&amp;TEXT(INT(MOD(MOD(ROUND(MOD(E49,360)*3600,0),1296000),3600)/60),"00")&amp;"'"&amp;TEXT(MOD(MOD(ROUND(MOD(E49,360)*3600,0),1296000),60),"00")&amp;"""")</f>
        <v/>
      </c>
      <c r="G49" s="17">
        <f>IF(B49="","",2*$D$6*SIN(D49/(2*$D$6)))</f>
        <v/>
      </c>
      <c r="H49" s="17">
        <f>IF(B49="","",2*$D$6*SIN((D49-D48)/(2*$D$6)))</f>
        <v/>
      </c>
      <c r="I49" s="20">
        <f>IF(B49="","",MOD(($C$10+$D$10/60+$E$10/3600)+IF($D$9="Right",1,-1)*E49,360))</f>
        <v/>
      </c>
      <c r="J49" s="17">
        <f>IF(B49="","",$J$12+G49*COS(RADIANS(I49)))</f>
        <v/>
      </c>
      <c r="K49" s="17">
        <f>IF(B49="","",$J$13+G49*SIN(RADIANS(I49)))</f>
        <v/>
      </c>
    </row>
    <row r="50">
      <c r="A50" s="22">
        <f>IF(B50="","",IF(ABS(B50-$J$10)&lt;0.0000001,"PC",IF(ABS(B50-$J$11)&lt;0.0000001,"PT","")))</f>
        <v/>
      </c>
      <c r="B50" s="17">
        <f>IF(B49="","",IF(B49&gt;=$J$11-0.0000001,"",MIN($J$11,B49+$D$8)))</f>
        <v/>
      </c>
      <c r="C50" s="22">
        <f>IF(B50="","",INT(B50/1000)&amp;"+"&amp;TEXT(MOD(B50,1000),"000.000"))</f>
        <v/>
      </c>
      <c r="D50" s="17">
        <f>IF(B50="","",B50-$J$10)</f>
        <v/>
      </c>
      <c r="E50" s="20">
        <f>IF(B50="","",DEGREES(D50/(2*$D$6)))</f>
        <v/>
      </c>
      <c r="F50" s="22">
        <f>IF(B50="","",INT(MOD(ROUND(MOD(E50,360)*3600,0),1296000)/3600)&amp;"°"&amp;TEXT(INT(MOD(MOD(ROUND(MOD(E50,360)*3600,0),1296000),3600)/60),"00")&amp;"'"&amp;TEXT(MOD(MOD(ROUND(MOD(E50,360)*3600,0),1296000),60),"00")&amp;"""")</f>
        <v/>
      </c>
      <c r="G50" s="17">
        <f>IF(B50="","",2*$D$6*SIN(D50/(2*$D$6)))</f>
        <v/>
      </c>
      <c r="H50" s="17">
        <f>IF(B50="","",2*$D$6*SIN((D50-D49)/(2*$D$6)))</f>
        <v/>
      </c>
      <c r="I50" s="20">
        <f>IF(B50="","",MOD(($C$10+$D$10/60+$E$10/3600)+IF($D$9="Right",1,-1)*E50,360))</f>
        <v/>
      </c>
      <c r="J50" s="17">
        <f>IF(B50="","",$J$12+G50*COS(RADIANS(I50)))</f>
        <v/>
      </c>
      <c r="K50" s="17">
        <f>IF(B50="","",$J$13+G50*SIN(RADIANS(I50)))</f>
        <v/>
      </c>
    </row>
    <row r="51">
      <c r="A51" s="22">
        <f>IF(B51="","",IF(ABS(B51-$J$10)&lt;0.0000001,"PC",IF(ABS(B51-$J$11)&lt;0.0000001,"PT","")))</f>
        <v/>
      </c>
      <c r="B51" s="17">
        <f>IF(B50="","",IF(B50&gt;=$J$11-0.0000001,"",MIN($J$11,B50+$D$8)))</f>
        <v/>
      </c>
      <c r="C51" s="22">
        <f>IF(B51="","",INT(B51/1000)&amp;"+"&amp;TEXT(MOD(B51,1000),"000.000"))</f>
        <v/>
      </c>
      <c r="D51" s="17">
        <f>IF(B51="","",B51-$J$10)</f>
        <v/>
      </c>
      <c r="E51" s="20">
        <f>IF(B51="","",DEGREES(D51/(2*$D$6)))</f>
        <v/>
      </c>
      <c r="F51" s="22">
        <f>IF(B51="","",INT(MOD(ROUND(MOD(E51,360)*3600,0),1296000)/3600)&amp;"°"&amp;TEXT(INT(MOD(MOD(ROUND(MOD(E51,360)*3600,0),1296000),3600)/60),"00")&amp;"'"&amp;TEXT(MOD(MOD(ROUND(MOD(E51,360)*3600,0),1296000),60),"00")&amp;"""")</f>
        <v/>
      </c>
      <c r="G51" s="17">
        <f>IF(B51="","",2*$D$6*SIN(D51/(2*$D$6)))</f>
        <v/>
      </c>
      <c r="H51" s="17">
        <f>IF(B51="","",2*$D$6*SIN((D51-D50)/(2*$D$6)))</f>
        <v/>
      </c>
      <c r="I51" s="20">
        <f>IF(B51="","",MOD(($C$10+$D$10/60+$E$10/3600)+IF($D$9="Right",1,-1)*E51,360))</f>
        <v/>
      </c>
      <c r="J51" s="17">
        <f>IF(B51="","",$J$12+G51*COS(RADIANS(I51)))</f>
        <v/>
      </c>
      <c r="K51" s="17">
        <f>IF(B51="","",$J$13+G51*SIN(RADIANS(I51)))</f>
        <v/>
      </c>
    </row>
    <row r="52">
      <c r="A52" s="22">
        <f>IF(B52="","",IF(ABS(B52-$J$10)&lt;0.0000001,"PC",IF(ABS(B52-$J$11)&lt;0.0000001,"PT","")))</f>
        <v/>
      </c>
      <c r="B52" s="17">
        <f>IF(B51="","",IF(B51&gt;=$J$11-0.0000001,"",MIN($J$11,B51+$D$8)))</f>
        <v/>
      </c>
      <c r="C52" s="22">
        <f>IF(B52="","",INT(B52/1000)&amp;"+"&amp;TEXT(MOD(B52,1000),"000.000"))</f>
        <v/>
      </c>
      <c r="D52" s="17">
        <f>IF(B52="","",B52-$J$10)</f>
        <v/>
      </c>
      <c r="E52" s="20">
        <f>IF(B52="","",DEGREES(D52/(2*$D$6)))</f>
        <v/>
      </c>
      <c r="F52" s="22">
        <f>IF(B52="","",INT(MOD(ROUND(MOD(E52,360)*3600,0),1296000)/3600)&amp;"°"&amp;TEXT(INT(MOD(MOD(ROUND(MOD(E52,360)*3600,0),1296000),3600)/60),"00")&amp;"'"&amp;TEXT(MOD(MOD(ROUND(MOD(E52,360)*3600,0),1296000),60),"00")&amp;"""")</f>
        <v/>
      </c>
      <c r="G52" s="17">
        <f>IF(B52="","",2*$D$6*SIN(D52/(2*$D$6)))</f>
        <v/>
      </c>
      <c r="H52" s="17">
        <f>IF(B52="","",2*$D$6*SIN((D52-D51)/(2*$D$6)))</f>
        <v/>
      </c>
      <c r="I52" s="20">
        <f>IF(B52="","",MOD(($C$10+$D$10/60+$E$10/3600)+IF($D$9="Right",1,-1)*E52,360))</f>
        <v/>
      </c>
      <c r="J52" s="17">
        <f>IF(B52="","",$J$12+G52*COS(RADIANS(I52)))</f>
        <v/>
      </c>
      <c r="K52" s="17">
        <f>IF(B52="","",$J$13+G52*SIN(RADIANS(I52)))</f>
        <v/>
      </c>
    </row>
    <row r="53">
      <c r="A53" s="22">
        <f>IF(B53="","",IF(ABS(B53-$J$10)&lt;0.0000001,"PC",IF(ABS(B53-$J$11)&lt;0.0000001,"PT","")))</f>
        <v/>
      </c>
      <c r="B53" s="17">
        <f>IF(B52="","",IF(B52&gt;=$J$11-0.0000001,"",MIN($J$11,B52+$D$8)))</f>
        <v/>
      </c>
      <c r="C53" s="22">
        <f>IF(B53="","",INT(B53/1000)&amp;"+"&amp;TEXT(MOD(B53,1000),"000.000"))</f>
        <v/>
      </c>
      <c r="D53" s="17">
        <f>IF(B53="","",B53-$J$10)</f>
        <v/>
      </c>
      <c r="E53" s="20">
        <f>IF(B53="","",DEGREES(D53/(2*$D$6)))</f>
        <v/>
      </c>
      <c r="F53" s="22">
        <f>IF(B53="","",INT(MOD(ROUND(MOD(E53,360)*3600,0),1296000)/3600)&amp;"°"&amp;TEXT(INT(MOD(MOD(ROUND(MOD(E53,360)*3600,0),1296000),3600)/60),"00")&amp;"'"&amp;TEXT(MOD(MOD(ROUND(MOD(E53,360)*3600,0),1296000),60),"00")&amp;"""")</f>
        <v/>
      </c>
      <c r="G53" s="17">
        <f>IF(B53="","",2*$D$6*SIN(D53/(2*$D$6)))</f>
        <v/>
      </c>
      <c r="H53" s="17">
        <f>IF(B53="","",2*$D$6*SIN((D53-D52)/(2*$D$6)))</f>
        <v/>
      </c>
      <c r="I53" s="20">
        <f>IF(B53="","",MOD(($C$10+$D$10/60+$E$10/3600)+IF($D$9="Right",1,-1)*E53,360))</f>
        <v/>
      </c>
      <c r="J53" s="17">
        <f>IF(B53="","",$J$12+G53*COS(RADIANS(I53)))</f>
        <v/>
      </c>
      <c r="K53" s="17">
        <f>IF(B53="","",$J$13+G53*SIN(RADIANS(I53)))</f>
        <v/>
      </c>
    </row>
    <row r="54">
      <c r="A54" s="22">
        <f>IF(B54="","",IF(ABS(B54-$J$10)&lt;0.0000001,"PC",IF(ABS(B54-$J$11)&lt;0.0000001,"PT","")))</f>
        <v/>
      </c>
      <c r="B54" s="17">
        <f>IF(B53="","",IF(B53&gt;=$J$11-0.0000001,"",MIN($J$11,B53+$D$8)))</f>
        <v/>
      </c>
      <c r="C54" s="22">
        <f>IF(B54="","",INT(B54/1000)&amp;"+"&amp;TEXT(MOD(B54,1000),"000.000"))</f>
        <v/>
      </c>
      <c r="D54" s="17">
        <f>IF(B54="","",B54-$J$10)</f>
        <v/>
      </c>
      <c r="E54" s="20">
        <f>IF(B54="","",DEGREES(D54/(2*$D$6)))</f>
        <v/>
      </c>
      <c r="F54" s="22">
        <f>IF(B54="","",INT(MOD(ROUND(MOD(E54,360)*3600,0),1296000)/3600)&amp;"°"&amp;TEXT(INT(MOD(MOD(ROUND(MOD(E54,360)*3600,0),1296000),3600)/60),"00")&amp;"'"&amp;TEXT(MOD(MOD(ROUND(MOD(E54,360)*3600,0),1296000),60),"00")&amp;"""")</f>
        <v/>
      </c>
      <c r="G54" s="17">
        <f>IF(B54="","",2*$D$6*SIN(D54/(2*$D$6)))</f>
        <v/>
      </c>
      <c r="H54" s="17">
        <f>IF(B54="","",2*$D$6*SIN((D54-D53)/(2*$D$6)))</f>
        <v/>
      </c>
      <c r="I54" s="20">
        <f>IF(B54="","",MOD(($C$10+$D$10/60+$E$10/3600)+IF($D$9="Right",1,-1)*E54,360))</f>
        <v/>
      </c>
      <c r="J54" s="17">
        <f>IF(B54="","",$J$12+G54*COS(RADIANS(I54)))</f>
        <v/>
      </c>
      <c r="K54" s="17">
        <f>IF(B54="","",$J$13+G54*SIN(RADIANS(I54)))</f>
        <v/>
      </c>
    </row>
    <row r="55">
      <c r="A55" s="22">
        <f>IF(B55="","",IF(ABS(B55-$J$10)&lt;0.0000001,"PC",IF(ABS(B55-$J$11)&lt;0.0000001,"PT","")))</f>
        <v/>
      </c>
      <c r="B55" s="17">
        <f>IF(B54="","",IF(B54&gt;=$J$11-0.0000001,"",MIN($J$11,B54+$D$8)))</f>
        <v/>
      </c>
      <c r="C55" s="22">
        <f>IF(B55="","",INT(B55/1000)&amp;"+"&amp;TEXT(MOD(B55,1000),"000.000"))</f>
        <v/>
      </c>
      <c r="D55" s="17">
        <f>IF(B55="","",B55-$J$10)</f>
        <v/>
      </c>
      <c r="E55" s="20">
        <f>IF(B55="","",DEGREES(D55/(2*$D$6)))</f>
        <v/>
      </c>
      <c r="F55" s="22">
        <f>IF(B55="","",INT(MOD(ROUND(MOD(E55,360)*3600,0),1296000)/3600)&amp;"°"&amp;TEXT(INT(MOD(MOD(ROUND(MOD(E55,360)*3600,0),1296000),3600)/60),"00")&amp;"'"&amp;TEXT(MOD(MOD(ROUND(MOD(E55,360)*3600,0),1296000),60),"00")&amp;"""")</f>
        <v/>
      </c>
      <c r="G55" s="17">
        <f>IF(B55="","",2*$D$6*SIN(D55/(2*$D$6)))</f>
        <v/>
      </c>
      <c r="H55" s="17">
        <f>IF(B55="","",2*$D$6*SIN((D55-D54)/(2*$D$6)))</f>
        <v/>
      </c>
      <c r="I55" s="20">
        <f>IF(B55="","",MOD(($C$10+$D$10/60+$E$10/3600)+IF($D$9="Right",1,-1)*E55,360))</f>
        <v/>
      </c>
      <c r="J55" s="17">
        <f>IF(B55="","",$J$12+G55*COS(RADIANS(I55)))</f>
        <v/>
      </c>
      <c r="K55" s="17">
        <f>IF(B55="","",$J$13+G55*SIN(RADIANS(I55)))</f>
        <v/>
      </c>
    </row>
    <row r="56">
      <c r="A56" s="22">
        <f>IF(B56="","",IF(ABS(B56-$J$10)&lt;0.0000001,"PC",IF(ABS(B56-$J$11)&lt;0.0000001,"PT","")))</f>
        <v/>
      </c>
      <c r="B56" s="17">
        <f>IF(B55="","",IF(B55&gt;=$J$11-0.0000001,"",MIN($J$11,B55+$D$8)))</f>
        <v/>
      </c>
      <c r="C56" s="22">
        <f>IF(B56="","",INT(B56/1000)&amp;"+"&amp;TEXT(MOD(B56,1000),"000.000"))</f>
        <v/>
      </c>
      <c r="D56" s="17">
        <f>IF(B56="","",B56-$J$10)</f>
        <v/>
      </c>
      <c r="E56" s="20">
        <f>IF(B56="","",DEGREES(D56/(2*$D$6)))</f>
        <v/>
      </c>
      <c r="F56" s="22">
        <f>IF(B56="","",INT(MOD(ROUND(MOD(E56,360)*3600,0),1296000)/3600)&amp;"°"&amp;TEXT(INT(MOD(MOD(ROUND(MOD(E56,360)*3600,0),1296000),3600)/60),"00")&amp;"'"&amp;TEXT(MOD(MOD(ROUND(MOD(E56,360)*3600,0),1296000),60),"00")&amp;"""")</f>
        <v/>
      </c>
      <c r="G56" s="17">
        <f>IF(B56="","",2*$D$6*SIN(D56/(2*$D$6)))</f>
        <v/>
      </c>
      <c r="H56" s="17">
        <f>IF(B56="","",2*$D$6*SIN((D56-D55)/(2*$D$6)))</f>
        <v/>
      </c>
      <c r="I56" s="20">
        <f>IF(B56="","",MOD(($C$10+$D$10/60+$E$10/3600)+IF($D$9="Right",1,-1)*E56,360))</f>
        <v/>
      </c>
      <c r="J56" s="17">
        <f>IF(B56="","",$J$12+G56*COS(RADIANS(I56)))</f>
        <v/>
      </c>
      <c r="K56" s="17">
        <f>IF(B56="","",$J$13+G56*SIN(RADIANS(I56)))</f>
        <v/>
      </c>
    </row>
    <row r="57">
      <c r="A57" s="22">
        <f>IF(B57="","",IF(ABS(B57-$J$10)&lt;0.0000001,"PC",IF(ABS(B57-$J$11)&lt;0.0000001,"PT","")))</f>
        <v/>
      </c>
      <c r="B57" s="17">
        <f>IF(B56="","",IF(B56&gt;=$J$11-0.0000001,"",MIN($J$11,B56+$D$8)))</f>
        <v/>
      </c>
      <c r="C57" s="22">
        <f>IF(B57="","",INT(B57/1000)&amp;"+"&amp;TEXT(MOD(B57,1000),"000.000"))</f>
        <v/>
      </c>
      <c r="D57" s="17">
        <f>IF(B57="","",B57-$J$10)</f>
        <v/>
      </c>
      <c r="E57" s="20">
        <f>IF(B57="","",DEGREES(D57/(2*$D$6)))</f>
        <v/>
      </c>
      <c r="F57" s="22">
        <f>IF(B57="","",INT(MOD(ROUND(MOD(E57,360)*3600,0),1296000)/3600)&amp;"°"&amp;TEXT(INT(MOD(MOD(ROUND(MOD(E57,360)*3600,0),1296000),3600)/60),"00")&amp;"'"&amp;TEXT(MOD(MOD(ROUND(MOD(E57,360)*3600,0),1296000),60),"00")&amp;"""")</f>
        <v/>
      </c>
      <c r="G57" s="17">
        <f>IF(B57="","",2*$D$6*SIN(D57/(2*$D$6)))</f>
        <v/>
      </c>
      <c r="H57" s="17">
        <f>IF(B57="","",2*$D$6*SIN((D57-D56)/(2*$D$6)))</f>
        <v/>
      </c>
      <c r="I57" s="20">
        <f>IF(B57="","",MOD(($C$10+$D$10/60+$E$10/3600)+IF($D$9="Right",1,-1)*E57,360))</f>
        <v/>
      </c>
      <c r="J57" s="17">
        <f>IF(B57="","",$J$12+G57*COS(RADIANS(I57)))</f>
        <v/>
      </c>
      <c r="K57" s="17">
        <f>IF(B57="","",$J$13+G57*SIN(RADIANS(I57)))</f>
        <v/>
      </c>
    </row>
    <row r="58">
      <c r="A58" s="22">
        <f>IF(B58="","",IF(ABS(B58-$J$10)&lt;0.0000001,"PC",IF(ABS(B58-$J$11)&lt;0.0000001,"PT","")))</f>
        <v/>
      </c>
      <c r="B58" s="17">
        <f>IF(B57="","",IF(B57&gt;=$J$11-0.0000001,"",MIN($J$11,B57+$D$8)))</f>
        <v/>
      </c>
      <c r="C58" s="22">
        <f>IF(B58="","",INT(B58/1000)&amp;"+"&amp;TEXT(MOD(B58,1000),"000.000"))</f>
        <v/>
      </c>
      <c r="D58" s="17">
        <f>IF(B58="","",B58-$J$10)</f>
        <v/>
      </c>
      <c r="E58" s="20">
        <f>IF(B58="","",DEGREES(D58/(2*$D$6)))</f>
        <v/>
      </c>
      <c r="F58" s="22">
        <f>IF(B58="","",INT(MOD(ROUND(MOD(E58,360)*3600,0),1296000)/3600)&amp;"°"&amp;TEXT(INT(MOD(MOD(ROUND(MOD(E58,360)*3600,0),1296000),3600)/60),"00")&amp;"'"&amp;TEXT(MOD(MOD(ROUND(MOD(E58,360)*3600,0),1296000),60),"00")&amp;"""")</f>
        <v/>
      </c>
      <c r="G58" s="17">
        <f>IF(B58="","",2*$D$6*SIN(D58/(2*$D$6)))</f>
        <v/>
      </c>
      <c r="H58" s="17">
        <f>IF(B58="","",2*$D$6*SIN((D58-D57)/(2*$D$6)))</f>
        <v/>
      </c>
      <c r="I58" s="20">
        <f>IF(B58="","",MOD(($C$10+$D$10/60+$E$10/3600)+IF($D$9="Right",1,-1)*E58,360))</f>
        <v/>
      </c>
      <c r="J58" s="17">
        <f>IF(B58="","",$J$12+G58*COS(RADIANS(I58)))</f>
        <v/>
      </c>
      <c r="K58" s="17">
        <f>IF(B58="","",$J$13+G58*SIN(RADIANS(I58)))</f>
        <v/>
      </c>
    </row>
    <row r="59">
      <c r="A59" s="22">
        <f>IF(B59="","",IF(ABS(B59-$J$10)&lt;0.0000001,"PC",IF(ABS(B59-$J$11)&lt;0.0000001,"PT","")))</f>
        <v/>
      </c>
      <c r="B59" s="17">
        <f>IF(B58="","",IF(B58&gt;=$J$11-0.0000001,"",MIN($J$11,B58+$D$8)))</f>
        <v/>
      </c>
      <c r="C59" s="22">
        <f>IF(B59="","",INT(B59/1000)&amp;"+"&amp;TEXT(MOD(B59,1000),"000.000"))</f>
        <v/>
      </c>
      <c r="D59" s="17">
        <f>IF(B59="","",B59-$J$10)</f>
        <v/>
      </c>
      <c r="E59" s="20">
        <f>IF(B59="","",DEGREES(D59/(2*$D$6)))</f>
        <v/>
      </c>
      <c r="F59" s="22">
        <f>IF(B59="","",INT(MOD(ROUND(MOD(E59,360)*3600,0),1296000)/3600)&amp;"°"&amp;TEXT(INT(MOD(MOD(ROUND(MOD(E59,360)*3600,0),1296000),3600)/60),"00")&amp;"'"&amp;TEXT(MOD(MOD(ROUND(MOD(E59,360)*3600,0),1296000),60),"00")&amp;"""")</f>
        <v/>
      </c>
      <c r="G59" s="17">
        <f>IF(B59="","",2*$D$6*SIN(D59/(2*$D$6)))</f>
        <v/>
      </c>
      <c r="H59" s="17">
        <f>IF(B59="","",2*$D$6*SIN((D59-D58)/(2*$D$6)))</f>
        <v/>
      </c>
      <c r="I59" s="20">
        <f>IF(B59="","",MOD(($C$10+$D$10/60+$E$10/3600)+IF($D$9="Right",1,-1)*E59,360))</f>
        <v/>
      </c>
      <c r="J59" s="17">
        <f>IF(B59="","",$J$12+G59*COS(RADIANS(I59)))</f>
        <v/>
      </c>
      <c r="K59" s="17">
        <f>IF(B59="","",$J$13+G59*SIN(RADIANS(I59)))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7">
    <mergeCell ref="G10:I10"/>
    <mergeCell ref="J5:K5"/>
    <mergeCell ref="G6:I6"/>
    <mergeCell ref="G13:I13"/>
    <mergeCell ref="J14:K14"/>
    <mergeCell ref="J10:K10"/>
    <mergeCell ref="A12:C12"/>
    <mergeCell ref="J13:K13"/>
    <mergeCell ref="A1:K1"/>
    <mergeCell ref="G15:I15"/>
    <mergeCell ref="J9:K9"/>
    <mergeCell ref="G14:I14"/>
    <mergeCell ref="G5:I5"/>
    <mergeCell ref="J6:K6"/>
    <mergeCell ref="A8:C8"/>
    <mergeCell ref="J15:K15"/>
    <mergeCell ref="J8:K8"/>
    <mergeCell ref="G16:I16"/>
    <mergeCell ref="A18:K18"/>
    <mergeCell ref="J11:K11"/>
    <mergeCell ref="J16:K16"/>
    <mergeCell ref="J7:K7"/>
    <mergeCell ref="A5:B5"/>
    <mergeCell ref="A2:K2"/>
    <mergeCell ref="A9:C9"/>
    <mergeCell ref="G9:I9"/>
    <mergeCell ref="G12:I12"/>
    <mergeCell ref="G4:K4"/>
    <mergeCell ref="G11:I11"/>
    <mergeCell ref="A4:E4"/>
    <mergeCell ref="A11:C11"/>
    <mergeCell ref="J12:K12"/>
    <mergeCell ref="A6:C6"/>
    <mergeCell ref="A10:B10"/>
    <mergeCell ref="G8:I8"/>
    <mergeCell ref="A7:C7"/>
    <mergeCell ref="G7:I7"/>
  </mergeCells>
  <dataValidations count="9">
    <dataValidation sqref="D9" showDropDown="0" showInputMessage="0" showErrorMessage="1" allowBlank="1" errorTitle="Sheetaky" error="Pick a value from the list" type="list">
      <formula1>"Right,Left"</formula1>
    </dataValidation>
    <dataValidation sqref="C5" showDropDown="0" showInputMessage="0" showErrorMessage="1" allowBlank="1" errorTitle="Sheetaky" error="Enter a number between 0.0001 and 179" type="decimal" operator="between">
      <formula1>0.0001</formula1>
      <formula2>179</formula2>
    </dataValidation>
    <dataValidation sqref="D5:E5" showDropDown="0" showInputMessage="0" showErrorMessage="1" allowBlank="1" errorTitle="Sheetaky" error="Enter a number between 0 and 60" type="decimal" operator="between">
      <formula1>0</formula1>
      <formula2>60</formula2>
    </dataValidation>
    <dataValidation sqref="D6" showDropDown="0" showInputMessage="0" showErrorMessage="1" allowBlank="1" errorTitle="Sheetaky" error="Enter a number between 1 and 10000000.0" type="decimal" operator="between">
      <formula1>1</formula1>
      <formula2>10000000.0</formula2>
    </dataValidation>
    <dataValidation sqref="D7" showDropDown="0" showInputMessage="0" showErrorMessage="1" allowBlank="1" errorTitle="Sheetaky" error="Enter a number between 0 and 1000000000.0" type="decimal" operator="between">
      <formula1>0</formula1>
      <formula2>1000000000.0</formula2>
    </dataValidation>
    <dataValidation sqref="D8" showDropDown="0" showInputMessage="0" showErrorMessage="1" allowBlank="1" errorTitle="Sheetaky" error="Enter a number between 0.1 and 100000.0" type="decimal" operator="between">
      <formula1>0.1</formula1>
      <formula2>100000.0</formula2>
    </dataValidation>
    <dataValidation sqref="C10" showDropDown="0" showInputMessage="0" showErrorMessage="1" allowBlank="1" errorTitle="Sheetaky" error="Enter a number between 0 and 360" type="decimal" operator="between">
      <formula1>0</formula1>
      <formula2>360</formula2>
    </dataValidation>
    <dataValidation sqref="D10:E10" showDropDown="0" showInputMessage="0" showErrorMessage="1" allowBlank="1" errorTitle="Sheetaky" error="Enter a number between 0 and 60" type="decimal" operator="between">
      <formula1>0</formula1>
      <formula2>60</formula2>
    </dataValidation>
    <dataValidation sqref="D11:D12" showDropDown="0" showInputMessage="0" showErrorMessage="1" allowBlank="1" errorTitle="Sheetaky" error="Enter a number between -10000000000.0 and 10000000000.0" type="decimal" operator="between">
      <formula1>-10000000000.0</formula1>
      <formula2>10000000000.0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B51"/>
  <sheetViews>
    <sheetView showGridLines="0" rightToLeft="0" zoomScale="100" workbookViewId="0">
      <selection activeCell="A1" sqref="A1"/>
    </sheetView>
  </sheetViews>
  <sheetFormatPr baseColWidth="8" defaultRowHeight="15"/>
  <cols>
    <col width="100" customWidth="1" min="1" max="1"/>
    <col width="40" customWidth="1" min="2" max="2"/>
  </cols>
  <sheetData>
    <row r="1" ht="36" customHeight="1">
      <c r="A1" s="1" t="inlineStr">
        <is>
          <t>AutoCAD commands for the curve</t>
        </is>
      </c>
      <c r="B1" s="2" t="n"/>
    </row>
    <row r="2" ht="18" customHeight="1">
      <c r="A2" s="3" t="inlineStr">
        <is>
          <t>Copy the whole cell and paste it into the command line</t>
        </is>
      </c>
      <c r="B2" s="4" t="n"/>
    </row>
    <row r="3"/>
    <row r="4" ht="22" customHeight="1">
      <c r="A4" s="5" t="inlineStr">
        <is>
          <t>Tangents (polyline PC → PI → PT)</t>
        </is>
      </c>
      <c r="B4" s="6" t="n"/>
    </row>
    <row r="5">
      <c r="A5" s="23">
        <f>"PLINE "&amp;SUBSTITUTE(ROUND('Curve'!$J$13,3)&amp;"",",",".")&amp;","&amp;SUBSTITUTE(ROUND('Curve'!$J$12,3)&amp;"",",",".")&amp;" "&amp;SUBSTITUTE(ROUND('Curve'!$D$12,3)&amp;"",",",".")&amp;","&amp;SUBSTITUTE(ROUND('Curve'!$D$11,3)&amp;"",",",".")&amp;" "&amp;SUBSTITUTE(ROUND('Curve'!$J$16,3)&amp;"",",",".")&amp;","&amp;SUBSTITUTE(ROUND('Curve'!$J$15,3)&amp;"",",",".")&amp;" "</f>
        <v/>
      </c>
      <c r="B5" s="24" t="inlineStr">
        <is>
          <t>The trailing space acts as Enter</t>
        </is>
      </c>
    </row>
    <row r="6"/>
    <row r="7" ht="22" customHeight="1">
      <c r="A7" s="5" t="inlineStr">
        <is>
          <t>The arc by three points (ARC)</t>
        </is>
      </c>
      <c r="B7" s="6" t="n"/>
    </row>
    <row r="8">
      <c r="A8" s="23">
        <f>"ARC "&amp;SUBSTITUTE(ROUND('Curve'!$J$13,3)&amp;"",",",".")&amp;","&amp;SUBSTITUTE(ROUND('Curve'!$J$12,3)&amp;"",",",".")&amp;" "&amp;SUBSTITUTE(ROUND(('Curve'!$J$13+2*'Curve'!$D$6*SIN('Curve'!$J$6/(4*'Curve'!$D$6))*SIN(RADIANS(MOD(('Curve'!$C$10+'Curve'!$D$10/60+'Curve'!$E$10/3600)+IF('Curve'!$D$9="Right",1,-1)*('Curve'!$C$5+'Curve'!$D$5/60+'Curve'!$E$5/3600)/2,360)))),3)&amp;"",",",".")&amp;","&amp;SUBSTITUTE(ROUND(('Curve'!$J$12+2*'Curve'!$D$6*SIN('Curve'!$J$6/(4*'Curve'!$D$6))*COS(RADIANS(MOD(('Curve'!$C$10+'Curve'!$D$10/60+'Curve'!$E$10/3600)+IF('Curve'!$D$9="Right",1,-1)*('Curve'!$C$5+'Curve'!$D$5/60+'Curve'!$E$5/3600)/2,360)))),3)&amp;"",",",".")&amp;" "&amp;SUBSTITUTE(ROUND('Curve'!$J$16,3)&amp;"",",",".")&amp;","&amp;SUBSTITUTE(ROUND('Curve'!$J$15,3)&amp;"",",",".")&amp;" "</f>
        <v/>
      </c>
    </row>
    <row r="9"/>
    <row r="10" ht="22" customHeight="1">
      <c r="A10" s="5" t="inlineStr">
        <is>
          <t>Setting-out points (POINT)</t>
        </is>
      </c>
      <c r="B10" s="6" t="n"/>
    </row>
    <row r="11">
      <c r="A11" s="23">
        <f>IF(ISNUMBER('Curve'!B20),"POINT "&amp;SUBSTITUTE(ROUND('Curve'!K20,3)&amp;"",",",".")&amp;","&amp;SUBSTITUTE(ROUND('Curve'!J20,3)&amp;"",",",".")&amp;",0","")</f>
        <v/>
      </c>
    </row>
    <row r="12">
      <c r="A12" s="23">
        <f>IF(ISNUMBER('Curve'!B21),"POINT "&amp;SUBSTITUTE(ROUND('Curve'!K21,3)&amp;"",",",".")&amp;","&amp;SUBSTITUTE(ROUND('Curve'!J21,3)&amp;"",",",".")&amp;",0","")</f>
        <v/>
      </c>
    </row>
    <row r="13">
      <c r="A13" s="23">
        <f>IF(ISNUMBER('Curve'!B22),"POINT "&amp;SUBSTITUTE(ROUND('Curve'!K22,3)&amp;"",",",".")&amp;","&amp;SUBSTITUTE(ROUND('Curve'!J22,3)&amp;"",",",".")&amp;",0","")</f>
        <v/>
      </c>
    </row>
    <row r="14">
      <c r="A14" s="23">
        <f>IF(ISNUMBER('Curve'!B23),"POINT "&amp;SUBSTITUTE(ROUND('Curve'!K23,3)&amp;"",",",".")&amp;","&amp;SUBSTITUTE(ROUND('Curve'!J23,3)&amp;"",",",".")&amp;",0","")</f>
        <v/>
      </c>
    </row>
    <row r="15">
      <c r="A15" s="23">
        <f>IF(ISNUMBER('Curve'!B24),"POINT "&amp;SUBSTITUTE(ROUND('Curve'!K24,3)&amp;"",",",".")&amp;","&amp;SUBSTITUTE(ROUND('Curve'!J24,3)&amp;"",",",".")&amp;",0","")</f>
        <v/>
      </c>
    </row>
    <row r="16">
      <c r="A16" s="23">
        <f>IF(ISNUMBER('Curve'!B25),"POINT "&amp;SUBSTITUTE(ROUND('Curve'!K25,3)&amp;"",",",".")&amp;","&amp;SUBSTITUTE(ROUND('Curve'!J25,3)&amp;"",",",".")&amp;",0","")</f>
        <v/>
      </c>
    </row>
    <row r="17">
      <c r="A17" s="23">
        <f>IF(ISNUMBER('Curve'!B26),"POINT "&amp;SUBSTITUTE(ROUND('Curve'!K26,3)&amp;"",",",".")&amp;","&amp;SUBSTITUTE(ROUND('Curve'!J26,3)&amp;"",",",".")&amp;",0","")</f>
        <v/>
      </c>
    </row>
    <row r="18">
      <c r="A18" s="23">
        <f>IF(ISNUMBER('Curve'!B27),"POINT "&amp;SUBSTITUTE(ROUND('Curve'!K27,3)&amp;"",",",".")&amp;","&amp;SUBSTITUTE(ROUND('Curve'!J27,3)&amp;"",",",".")&amp;",0","")</f>
        <v/>
      </c>
    </row>
    <row r="19">
      <c r="A19" s="23">
        <f>IF(ISNUMBER('Curve'!B28),"POINT "&amp;SUBSTITUTE(ROUND('Curve'!K28,3)&amp;"",",",".")&amp;","&amp;SUBSTITUTE(ROUND('Curve'!J28,3)&amp;"",",",".")&amp;",0","")</f>
        <v/>
      </c>
    </row>
    <row r="20">
      <c r="A20" s="23">
        <f>IF(ISNUMBER('Curve'!B29),"POINT "&amp;SUBSTITUTE(ROUND('Curve'!K29,3)&amp;"",",",".")&amp;","&amp;SUBSTITUTE(ROUND('Curve'!J29,3)&amp;"",",",".")&amp;",0","")</f>
        <v/>
      </c>
    </row>
    <row r="21">
      <c r="A21" s="23">
        <f>IF(ISNUMBER('Curve'!B30),"POINT "&amp;SUBSTITUTE(ROUND('Curve'!K30,3)&amp;"",",",".")&amp;","&amp;SUBSTITUTE(ROUND('Curve'!J30,3)&amp;"",",",".")&amp;",0","")</f>
        <v/>
      </c>
    </row>
    <row r="22">
      <c r="A22" s="23">
        <f>IF(ISNUMBER('Curve'!B31),"POINT "&amp;SUBSTITUTE(ROUND('Curve'!K31,3)&amp;"",",",".")&amp;","&amp;SUBSTITUTE(ROUND('Curve'!J31,3)&amp;"",",",".")&amp;",0","")</f>
        <v/>
      </c>
    </row>
    <row r="23">
      <c r="A23" s="23">
        <f>IF(ISNUMBER('Curve'!B32),"POINT "&amp;SUBSTITUTE(ROUND('Curve'!K32,3)&amp;"",",",".")&amp;","&amp;SUBSTITUTE(ROUND('Curve'!J32,3)&amp;"",",",".")&amp;",0","")</f>
        <v/>
      </c>
    </row>
    <row r="24">
      <c r="A24" s="23">
        <f>IF(ISNUMBER('Curve'!B33),"POINT "&amp;SUBSTITUTE(ROUND('Curve'!K33,3)&amp;"",",",".")&amp;","&amp;SUBSTITUTE(ROUND('Curve'!J33,3)&amp;"",",",".")&amp;",0","")</f>
        <v/>
      </c>
    </row>
    <row r="25">
      <c r="A25" s="23">
        <f>IF(ISNUMBER('Curve'!B34),"POINT "&amp;SUBSTITUTE(ROUND('Curve'!K34,3)&amp;"",",",".")&amp;","&amp;SUBSTITUTE(ROUND('Curve'!J34,3)&amp;"",",",".")&amp;",0","")</f>
        <v/>
      </c>
    </row>
    <row r="26">
      <c r="A26" s="23">
        <f>IF(ISNUMBER('Curve'!B35),"POINT "&amp;SUBSTITUTE(ROUND('Curve'!K35,3)&amp;"",",",".")&amp;","&amp;SUBSTITUTE(ROUND('Curve'!J35,3)&amp;"",",",".")&amp;",0","")</f>
        <v/>
      </c>
    </row>
    <row r="27">
      <c r="A27" s="23">
        <f>IF(ISNUMBER('Curve'!B36),"POINT "&amp;SUBSTITUTE(ROUND('Curve'!K36,3)&amp;"",",",".")&amp;","&amp;SUBSTITUTE(ROUND('Curve'!J36,3)&amp;"",",",".")&amp;",0","")</f>
        <v/>
      </c>
    </row>
    <row r="28">
      <c r="A28" s="23">
        <f>IF(ISNUMBER('Curve'!B37),"POINT "&amp;SUBSTITUTE(ROUND('Curve'!K37,3)&amp;"",",",".")&amp;","&amp;SUBSTITUTE(ROUND('Curve'!J37,3)&amp;"",",",".")&amp;",0","")</f>
        <v/>
      </c>
    </row>
    <row r="29">
      <c r="A29" s="23">
        <f>IF(ISNUMBER('Curve'!B38),"POINT "&amp;SUBSTITUTE(ROUND('Curve'!K38,3)&amp;"",",",".")&amp;","&amp;SUBSTITUTE(ROUND('Curve'!J38,3)&amp;"",",",".")&amp;",0","")</f>
        <v/>
      </c>
    </row>
    <row r="30">
      <c r="A30" s="23">
        <f>IF(ISNUMBER('Curve'!B39),"POINT "&amp;SUBSTITUTE(ROUND('Curve'!K39,3)&amp;"",",",".")&amp;","&amp;SUBSTITUTE(ROUND('Curve'!J39,3)&amp;"",",",".")&amp;",0","")</f>
        <v/>
      </c>
    </row>
    <row r="31">
      <c r="A31" s="23">
        <f>IF(ISNUMBER('Curve'!B40),"POINT "&amp;SUBSTITUTE(ROUND('Curve'!K40,3)&amp;"",",",".")&amp;","&amp;SUBSTITUTE(ROUND('Curve'!J40,3)&amp;"",",",".")&amp;",0","")</f>
        <v/>
      </c>
    </row>
    <row r="32">
      <c r="A32" s="23">
        <f>IF(ISNUMBER('Curve'!B41),"POINT "&amp;SUBSTITUTE(ROUND('Curve'!K41,3)&amp;"",",",".")&amp;","&amp;SUBSTITUTE(ROUND('Curve'!J41,3)&amp;"",",",".")&amp;",0","")</f>
        <v/>
      </c>
    </row>
    <row r="33">
      <c r="A33" s="23">
        <f>IF(ISNUMBER('Curve'!B42),"POINT "&amp;SUBSTITUTE(ROUND('Curve'!K42,3)&amp;"",",",".")&amp;","&amp;SUBSTITUTE(ROUND('Curve'!J42,3)&amp;"",",",".")&amp;",0","")</f>
        <v/>
      </c>
    </row>
    <row r="34">
      <c r="A34" s="23">
        <f>IF(ISNUMBER('Curve'!B43),"POINT "&amp;SUBSTITUTE(ROUND('Curve'!K43,3)&amp;"",",",".")&amp;","&amp;SUBSTITUTE(ROUND('Curve'!J43,3)&amp;"",",",".")&amp;",0","")</f>
        <v/>
      </c>
    </row>
    <row r="35">
      <c r="A35" s="23">
        <f>IF(ISNUMBER('Curve'!B44),"POINT "&amp;SUBSTITUTE(ROUND('Curve'!K44,3)&amp;"",",",".")&amp;","&amp;SUBSTITUTE(ROUND('Curve'!J44,3)&amp;"",",",".")&amp;",0","")</f>
        <v/>
      </c>
    </row>
    <row r="36">
      <c r="A36" s="23">
        <f>IF(ISNUMBER('Curve'!B45),"POINT "&amp;SUBSTITUTE(ROUND('Curve'!K45,3)&amp;"",",",".")&amp;","&amp;SUBSTITUTE(ROUND('Curve'!J45,3)&amp;"",",",".")&amp;",0","")</f>
        <v/>
      </c>
    </row>
    <row r="37">
      <c r="A37" s="23">
        <f>IF(ISNUMBER('Curve'!B46),"POINT "&amp;SUBSTITUTE(ROUND('Curve'!K46,3)&amp;"",",",".")&amp;","&amp;SUBSTITUTE(ROUND('Curve'!J46,3)&amp;"",",",".")&amp;",0","")</f>
        <v/>
      </c>
    </row>
    <row r="38">
      <c r="A38" s="23">
        <f>IF(ISNUMBER('Curve'!B47),"POINT "&amp;SUBSTITUTE(ROUND('Curve'!K47,3)&amp;"",",",".")&amp;","&amp;SUBSTITUTE(ROUND('Curve'!J47,3)&amp;"",",",".")&amp;",0","")</f>
        <v/>
      </c>
    </row>
    <row r="39">
      <c r="A39" s="23">
        <f>IF(ISNUMBER('Curve'!B48),"POINT "&amp;SUBSTITUTE(ROUND('Curve'!K48,3)&amp;"",",",".")&amp;","&amp;SUBSTITUTE(ROUND('Curve'!J48,3)&amp;"",",",".")&amp;",0","")</f>
        <v/>
      </c>
    </row>
    <row r="40">
      <c r="A40" s="23">
        <f>IF(ISNUMBER('Curve'!B49),"POINT "&amp;SUBSTITUTE(ROUND('Curve'!K49,3)&amp;"",",",".")&amp;","&amp;SUBSTITUTE(ROUND('Curve'!J49,3)&amp;"",",",".")&amp;",0","")</f>
        <v/>
      </c>
    </row>
    <row r="41">
      <c r="A41" s="23">
        <f>IF(ISNUMBER('Curve'!B50),"POINT "&amp;SUBSTITUTE(ROUND('Curve'!K50,3)&amp;"",",",".")&amp;","&amp;SUBSTITUTE(ROUND('Curve'!J50,3)&amp;"",",",".")&amp;",0","")</f>
        <v/>
      </c>
    </row>
    <row r="42">
      <c r="A42" s="23">
        <f>IF(ISNUMBER('Curve'!B51),"POINT "&amp;SUBSTITUTE(ROUND('Curve'!K51,3)&amp;"",",",".")&amp;","&amp;SUBSTITUTE(ROUND('Curve'!J51,3)&amp;"",",",".")&amp;",0","")</f>
        <v/>
      </c>
    </row>
    <row r="43">
      <c r="A43" s="23">
        <f>IF(ISNUMBER('Curve'!B52),"POINT "&amp;SUBSTITUTE(ROUND('Curve'!K52,3)&amp;"",",",".")&amp;","&amp;SUBSTITUTE(ROUND('Curve'!J52,3)&amp;"",",",".")&amp;",0","")</f>
        <v/>
      </c>
    </row>
    <row r="44">
      <c r="A44" s="23">
        <f>IF(ISNUMBER('Curve'!B53),"POINT "&amp;SUBSTITUTE(ROUND('Curve'!K53,3)&amp;"",",",".")&amp;","&amp;SUBSTITUTE(ROUND('Curve'!J53,3)&amp;"",",",".")&amp;",0","")</f>
        <v/>
      </c>
    </row>
    <row r="45">
      <c r="A45" s="23">
        <f>IF(ISNUMBER('Curve'!B54),"POINT "&amp;SUBSTITUTE(ROUND('Curve'!K54,3)&amp;"",",",".")&amp;","&amp;SUBSTITUTE(ROUND('Curve'!J54,3)&amp;"",",",".")&amp;",0","")</f>
        <v/>
      </c>
    </row>
    <row r="46">
      <c r="A46" s="23">
        <f>IF(ISNUMBER('Curve'!B55),"POINT "&amp;SUBSTITUTE(ROUND('Curve'!K55,3)&amp;"",",",".")&amp;","&amp;SUBSTITUTE(ROUND('Curve'!J55,3)&amp;"",",",".")&amp;",0","")</f>
        <v/>
      </c>
    </row>
    <row r="47">
      <c r="A47" s="23">
        <f>IF(ISNUMBER('Curve'!B56),"POINT "&amp;SUBSTITUTE(ROUND('Curve'!K56,3)&amp;"",",",".")&amp;","&amp;SUBSTITUTE(ROUND('Curve'!J56,3)&amp;"",",",".")&amp;",0","")</f>
        <v/>
      </c>
    </row>
    <row r="48">
      <c r="A48" s="23">
        <f>IF(ISNUMBER('Curve'!B57),"POINT "&amp;SUBSTITUTE(ROUND('Curve'!K57,3)&amp;"",",",".")&amp;","&amp;SUBSTITUTE(ROUND('Curve'!J57,3)&amp;"",",",".")&amp;",0","")</f>
        <v/>
      </c>
    </row>
    <row r="49">
      <c r="A49" s="23">
        <f>IF(ISNUMBER('Curve'!B58),"POINT "&amp;SUBSTITUTE(ROUND('Curve'!K58,3)&amp;"",",",".")&amp;","&amp;SUBSTITUTE(ROUND('Curve'!J58,3)&amp;"",",",".")&amp;",0","")</f>
        <v/>
      </c>
    </row>
    <row r="50">
      <c r="A50" s="23">
        <f>IF(ISNUMBER('Curve'!B59),"POINT "&amp;SUBSTITUTE(ROUND('Curve'!K59,3)&amp;"",",",".")&amp;","&amp;SUBSTITUTE(ROUND('Curve'!J59,3)&amp;"",",",".")&amp;",0","")</f>
        <v/>
      </c>
    </row>
    <row r="51">
      <c r="A51" s="25" t="inlineStr">
        <is>
          <t>Copy only the non-empty lines.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4:B4"/>
    <mergeCell ref="A2:B2"/>
    <mergeCell ref="A7:B7"/>
    <mergeCell ref="A51:B51"/>
    <mergeCell ref="A10:B10"/>
    <mergeCell ref="A1:B1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Horizontal Circular Curve: Elements, Deflection Table and Coordinates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3"/>
    <row r="4" ht="22" customHeight="1">
      <c r="A4" s="5" t="inlineStr">
        <is>
          <t>What is this sheet?</t>
        </is>
      </c>
      <c r="B4" s="6" t="n"/>
    </row>
    <row r="5" ht="60" customHeight="1">
      <c r="A5" s="23" t="inlineStr">
        <is>
          <t>The sheet calculates a simple circular horizontal curve: its elements (tangent, length, long chord, middle ordinate, external distance), the start and end chainages, a deflection setting-out table at regular intervals from PC, the coordinates of every point on the curve, and AutoCAD commands to draw the tangents, the arc and the points.</t>
        </is>
      </c>
    </row>
    <row r="6"/>
    <row r="7" ht="22" customHeight="1">
      <c r="A7" s="5" t="inlineStr">
        <is>
          <t>Steps</t>
        </is>
      </c>
      <c r="B7" s="6" t="n"/>
    </row>
    <row r="8" ht="20" customHeight="1">
      <c r="A8" s="26" t="n">
        <v>1</v>
      </c>
      <c r="B8" s="23" t="inlineStr">
        <is>
          <t>Enter the deflection angle, radius, PI chainage and curve direction.</t>
        </is>
      </c>
    </row>
    <row r="9" ht="20" customHeight="1">
      <c r="A9" s="26" t="n">
        <v>2</v>
      </c>
      <c r="B9" s="23" t="inlineStr">
        <is>
          <t>Enter the back tangent azimuth and the PI coordinates to get point coordinates.</t>
        </is>
      </c>
    </row>
    <row r="10" ht="30" customHeight="1">
      <c r="A10" s="26" t="n">
        <v>3</v>
      </c>
      <c r="B10" s="23" t="inlineStr">
        <is>
          <t>Read the table: set up at PC, sight PI (zero), turn the deflection angle for each point and measure the chord.</t>
        </is>
      </c>
    </row>
    <row r="11" ht="20" customHeight="1">
      <c r="A11" s="26" t="n">
        <v>4</v>
      </c>
      <c r="B11" s="23" t="inlineStr">
        <is>
          <t>Copy the AutoCAD commands to draw the curve and verify it on the plan.</t>
        </is>
      </c>
    </row>
    <row r="12"/>
    <row r="13" ht="22" customHeight="1">
      <c r="A13" s="5" t="inlineStr">
        <is>
          <t>Color legend</t>
        </is>
      </c>
      <c r="B13" s="6" t="n"/>
    </row>
    <row r="14">
      <c r="A14" s="27" t="inlineStr"/>
      <c r="B14" s="23" t="inlineStr">
        <is>
          <t>Input cell: type or choose your value here (blue text on yellow).</t>
        </is>
      </c>
    </row>
    <row r="15">
      <c r="A15" s="28" t="inlineStr"/>
      <c r="B15" s="23" t="inlineStr">
        <is>
          <t>Calculated cell: automatic formula, protected from accidental edits.</t>
        </is>
      </c>
    </row>
    <row r="16">
      <c r="A16" s="29" t="inlineStr"/>
      <c r="B16" s="23" t="inlineStr">
        <is>
          <t>Table and section headers.</t>
        </is>
      </c>
    </row>
    <row r="17"/>
    <row r="18" ht="22" customHeight="1">
      <c r="A18" s="5" t="inlineStr">
        <is>
          <t>Important notes</t>
        </is>
      </c>
      <c r="B18" s="6" t="n"/>
    </row>
    <row r="19" ht="30" customHeight="1">
      <c r="A19" s="30" t="inlineStr">
        <is>
          <t>•</t>
        </is>
      </c>
      <c r="B19" s="31" t="inlineStr">
        <is>
          <t>The deflection angle is the angle between the extension of the back tangent and the forward tangent, not the interior angle at PI.</t>
        </is>
      </c>
    </row>
    <row r="20" ht="30" customHeight="1">
      <c r="A20" s="30" t="inlineStr">
        <is>
          <t>•</t>
        </is>
      </c>
      <c r="B20" s="31" t="inlineStr">
        <is>
          <t>The chord from the previous point helps when setting out with a tape and successive chords. The first and last arcs may be shorter than the interval.</t>
        </is>
      </c>
    </row>
    <row r="21" ht="20" customHeight="1">
      <c r="A21" s="30" t="inlineStr">
        <is>
          <t>•</t>
        </is>
      </c>
      <c r="B21" s="31" t="inlineStr">
        <is>
          <t>This is a simple circular curve only; transition (clothoid) curves need a separate sheet.</t>
        </is>
      </c>
    </row>
    <row r="22" ht="30" customHeight="1">
      <c r="A22" s="30" t="inlineStr">
        <is>
          <t>•</t>
        </is>
      </c>
      <c r="B22" s="31" t="inlineStr">
        <is>
          <t>Sheets are protected without a password to keep formulas safe. To unprotect: Review → Unprotect Sheet.</t>
        </is>
      </c>
    </row>
    <row r="23" ht="20" customHeight="1">
      <c r="A23" s="30" t="inlineStr">
        <is>
          <t>•</t>
        </is>
      </c>
      <c r="B23" s="31" t="inlineStr">
        <is>
          <t>The data shown is a worked example. Clear it and type your own data in the yellow cells only.</t>
        </is>
      </c>
    </row>
    <row r="24" ht="20" customHeight="1">
      <c r="A24" s="30" t="inlineStr">
        <is>
          <t>•</t>
        </is>
      </c>
      <c r="B24" s="31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CRV</dc:title>
  <dcterms:created xmlns:dcterms="http://purl.org/dc/terms/" xmlns:xsi="http://www.w3.org/2001/XMLSchema-instance" xsi:type="dcterms:W3CDTF">2026-10-23T01:06:19Z</dcterms:created>
  <dcterms:modified xmlns:dcterms="http://purl.org/dc/terms/" xmlns:xsi="http://www.w3.org/2001/XMLSchema-instance" xsi:type="dcterms:W3CDTF">2026-10-23T01:06:19Z</dcterms:modified>
</cp:coreProperties>
</file>