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سجل المعدات" sheetId="1" state="visible" r:id="rId1"/>
    <sheet xmlns:r="http://schemas.openxmlformats.org/officeDocument/2006/relationships" name="دليل الاستخدام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3">
    <font>
      <name val="Calibri"/>
      <family val="2"/>
      <color theme="1"/>
      <sz val="11"/>
      <scheme val="minor"/>
    </font>
    <font>
      <name val="Tahoma"/>
      <b val="1"/>
      <color rgb="00FFFFFF"/>
      <sz val="16"/>
    </font>
    <font>
      <name val="Tahoma"/>
      <color rgb="00FFFFFF"/>
      <sz val="9"/>
    </font>
    <font>
      <name val="Tahoma"/>
      <b val="1"/>
      <color rgb="00FFFFFF"/>
      <sz val="10"/>
    </font>
    <font>
      <name val="Tahoma"/>
      <color rgb="001F4FB5"/>
      <sz val="10"/>
    </font>
    <font>
      <name val="Tahoma"/>
      <b val="1"/>
      <color rgb="0078350F"/>
      <sz val="11"/>
    </font>
    <font>
      <name val="Tahoma"/>
      <b val="1"/>
      <color rgb="003B2A14"/>
      <sz val="10"/>
    </font>
    <font>
      <name val="Tahoma"/>
      <color rgb="003B2A14"/>
      <sz val="10"/>
    </font>
    <font>
      <name val="Tahoma"/>
      <b val="1"/>
      <color rgb="00FFFFFF"/>
      <sz val="9"/>
    </font>
    <font>
      <name val="Tahoma"/>
      <b val="1"/>
      <color rgb="0065A30D"/>
      <sz val="18"/>
    </font>
    <font>
      <name val="Tahoma"/>
      <b val="1"/>
      <color rgb="008A7355"/>
      <sz val="9"/>
    </font>
    <font>
      <name val="Tahoma"/>
      <b val="1"/>
      <color rgb="0092400E"/>
      <sz val="18"/>
    </font>
    <font>
      <name val="Tahoma"/>
      <b val="1"/>
      <color rgb="0065A30D"/>
      <sz val="10"/>
    </font>
  </fonts>
  <fills count="8">
    <fill>
      <patternFill/>
    </fill>
    <fill>
      <patternFill patternType="gray125"/>
    </fill>
    <fill>
      <patternFill patternType="solid">
        <fgColor rgb="0092400E"/>
      </patternFill>
    </fill>
    <fill>
      <patternFill patternType="solid">
        <fgColor rgb="0078350F"/>
      </patternFill>
    </fill>
    <fill>
      <patternFill patternType="solid">
        <fgColor rgb="00ECFCCB"/>
      </patternFill>
    </fill>
    <fill>
      <patternFill patternType="solid">
        <fgColor rgb="00F2E6CC"/>
      </patternFill>
    </fill>
    <fill>
      <patternFill patternType="solid">
        <fgColor rgb="00F5EBD7"/>
      </patternFill>
    </fill>
    <fill>
      <patternFill patternType="solid">
        <fgColor rgb="00EAD7B0"/>
      </patternFill>
    </fill>
  </fills>
  <borders count="4">
    <border>
      <left/>
      <right/>
      <top/>
      <bottom/>
      <diagonal/>
    </border>
    <border>
      <left style="thin">
        <color rgb="00E3D3B0"/>
      </left>
      <right style="thin">
        <color rgb="00E3D3B0"/>
      </right>
      <top style="thin">
        <color rgb="00E3D3B0"/>
      </top>
      <bottom style="thin">
        <color rgb="00E3D3B0"/>
      </bottom>
    </border>
    <border>
      <top style="medium">
        <color rgb="0065A30D"/>
      </top>
    </border>
    <border/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 readingOrder="2"/>
    </xf>
    <xf numFmtId="0" fontId="0" fillId="2" borderId="0" pivotButton="0" quotePrefix="0" xfId="0"/>
    <xf numFmtId="0" fontId="2" fillId="3" borderId="0" applyAlignment="1" pivotButton="0" quotePrefix="0" xfId="0">
      <alignment horizontal="center" vertical="center" wrapText="1" readingOrder="2"/>
    </xf>
    <xf numFmtId="0" fontId="0" fillId="3" borderId="0" pivotButton="0" quotePrefix="0" xfId="0"/>
    <xf numFmtId="0" fontId="8" fillId="3" borderId="2" applyAlignment="1" pivotButton="0" quotePrefix="0" xfId="0">
      <alignment horizontal="center" vertical="center" wrapText="1" readingOrder="2"/>
    </xf>
    <xf numFmtId="0" fontId="0" fillId="3" borderId="2" pivotButton="0" quotePrefix="0" xfId="0"/>
    <xf numFmtId="0" fontId="10" fillId="5" borderId="2" applyAlignment="1" pivotButton="0" quotePrefix="0" xfId="0">
      <alignment horizontal="center" vertical="center" wrapText="1" readingOrder="2"/>
    </xf>
    <xf numFmtId="0" fontId="0" fillId="5" borderId="2" pivotButton="0" quotePrefix="0" xfId="0"/>
    <xf numFmtId="0" fontId="3" fillId="2" borderId="1" applyAlignment="1" pivotButton="0" quotePrefix="0" xfId="0">
      <alignment horizontal="center" vertical="center" wrapText="1" readingOrder="2"/>
    </xf>
    <xf numFmtId="0" fontId="5" fillId="5" borderId="1" applyAlignment="1" pivotButton="0" quotePrefix="0" xfId="0">
      <alignment horizontal="right" vertical="center" wrapText="1" readingOrder="2"/>
    </xf>
    <xf numFmtId="0" fontId="0" fillId="5" borderId="1" pivotButton="0" quotePrefix="0" xfId="0"/>
    <xf numFmtId="1" fontId="9" fillId="2" borderId="3" applyAlignment="1" pivotButton="0" quotePrefix="0" xfId="0">
      <alignment horizontal="center" vertical="center" wrapText="1" readingOrder="2"/>
    </xf>
    <xf numFmtId="0" fontId="0" fillId="2" borderId="3" pivotButton="0" quotePrefix="0" xfId="0"/>
    <xf numFmtId="1" fontId="11" fillId="6" borderId="3" applyAlignment="1" pivotButton="0" quotePrefix="0" xfId="0">
      <alignment horizontal="center" vertical="center" wrapText="1" readingOrder="2"/>
    </xf>
    <xf numFmtId="0" fontId="0" fillId="6" borderId="3" pivotButton="0" quotePrefix="0" xfId="0"/>
    <xf numFmtId="9" fontId="9" fillId="2" borderId="3" applyAlignment="1" pivotButton="0" quotePrefix="0" xfId="0">
      <alignment horizontal="center" vertical="center" wrapText="1" readingOrder="2"/>
    </xf>
    <xf numFmtId="3" fontId="11" fillId="6" borderId="3" applyAlignment="1" pivotButton="0" quotePrefix="0" xfId="0">
      <alignment horizontal="center" vertical="center" wrapText="1" readingOrder="2"/>
    </xf>
    <xf numFmtId="0" fontId="4" fillId="4" borderId="1" applyAlignment="1" applyProtection="1" pivotButton="0" quotePrefix="0" xfId="0">
      <alignment horizontal="center" vertical="center" wrapText="1" readingOrder="2"/>
      <protection locked="0" hidden="0"/>
    </xf>
    <xf numFmtId="0" fontId="6" fillId="0" borderId="1" applyAlignment="1" pivotButton="0" quotePrefix="0" xfId="0">
      <alignment horizontal="right" vertical="center" wrapText="1" readingOrder="2"/>
    </xf>
    <xf numFmtId="164" fontId="4" fillId="4" borderId="1" applyAlignment="1" applyProtection="1" pivotButton="0" quotePrefix="0" xfId="0">
      <alignment horizontal="center" vertical="center" wrapText="1" readingOrder="2"/>
      <protection locked="0" hidden="0"/>
    </xf>
    <xf numFmtId="2" fontId="4" fillId="4" borderId="1" applyAlignment="1" applyProtection="1" pivotButton="0" quotePrefix="0" xfId="0">
      <alignment horizontal="center" vertical="center" wrapText="1" readingOrder="2"/>
      <protection locked="0" hidden="0"/>
    </xf>
    <xf numFmtId="0" fontId="6" fillId="5" borderId="1" applyAlignment="1" pivotButton="0" quotePrefix="0" xfId="0">
      <alignment horizontal="center" vertical="center" wrapText="1" readingOrder="2"/>
    </xf>
    <xf numFmtId="1" fontId="4" fillId="4" borderId="1" applyAlignment="1" applyProtection="1" pivotButton="0" quotePrefix="0" xfId="0">
      <alignment horizontal="center" vertical="center" wrapText="1" readingOrder="2"/>
      <protection locked="0" hidden="0"/>
    </xf>
    <xf numFmtId="0" fontId="6" fillId="0" borderId="1" applyAlignment="1" pivotButton="0" quotePrefix="0" xfId="0">
      <alignment horizontal="center" vertical="center" wrapText="1" readingOrder="2"/>
    </xf>
    <xf numFmtId="3" fontId="7" fillId="6" borderId="1" applyAlignment="1" pivotButton="0" quotePrefix="0" xfId="0">
      <alignment horizontal="center" vertical="center" wrapText="1" readingOrder="2"/>
    </xf>
    <xf numFmtId="0" fontId="7" fillId="6" borderId="1" applyAlignment="1" pivotButton="0" quotePrefix="0" xfId="0">
      <alignment horizontal="center" vertical="center" wrapText="1" readingOrder="2"/>
    </xf>
    <xf numFmtId="0" fontId="4" fillId="4" borderId="1" applyAlignment="1" applyProtection="1" pivotButton="0" quotePrefix="0" xfId="0">
      <alignment horizontal="right" vertical="center" wrapText="1" readingOrder="2"/>
      <protection locked="0" hidden="0"/>
    </xf>
    <xf numFmtId="3" fontId="4" fillId="4" borderId="1" applyAlignment="1" applyProtection="1" pivotButton="0" quotePrefix="0" xfId="0">
      <alignment horizontal="center" vertical="center" wrapText="1" readingOrder="2"/>
      <protection locked="0" hidden="0"/>
    </xf>
    <xf numFmtId="1" fontId="7" fillId="6" borderId="1" applyAlignment="1" pivotButton="0" quotePrefix="0" xfId="0">
      <alignment horizontal="center" vertical="center" wrapText="1" readingOrder="2"/>
    </xf>
    <xf numFmtId="9" fontId="7" fillId="6" borderId="1" applyAlignment="1" pivotButton="0" quotePrefix="0" xfId="0">
      <alignment horizontal="center" vertical="center" wrapText="1" readingOrder="2"/>
    </xf>
    <xf numFmtId="0" fontId="6" fillId="7" borderId="1" applyAlignment="1" pivotButton="0" quotePrefix="0" xfId="0">
      <alignment horizontal="right" vertical="center" wrapText="1" readingOrder="2"/>
    </xf>
    <xf numFmtId="3" fontId="6" fillId="7" borderId="1" applyAlignment="1" pivotButton="0" quotePrefix="0" xfId="0">
      <alignment horizontal="center" vertical="center" wrapText="1" readingOrder="2"/>
    </xf>
    <xf numFmtId="0" fontId="7" fillId="0" borderId="1" applyAlignment="1" pivotButton="0" quotePrefix="0" xfId="0">
      <alignment horizontal="right" vertical="center" wrapText="1" readingOrder="2"/>
    </xf>
    <xf numFmtId="0" fontId="3" fillId="2" borderId="1" applyAlignment="1" pivotButton="0" quotePrefix="0" xfId="0">
      <alignment horizontal="right" vertical="center" wrapText="1" readingOrder="2"/>
    </xf>
    <xf numFmtId="0" fontId="7" fillId="6" borderId="1" applyAlignment="1" pivotButton="0" quotePrefix="0" xfId="0">
      <alignment horizontal="right" vertical="center" wrapText="1" readingOrder="2"/>
    </xf>
    <xf numFmtId="0" fontId="7" fillId="2" borderId="1" applyAlignment="1" pivotButton="0" quotePrefix="0" xfId="0">
      <alignment horizontal="right" vertical="center" wrapText="1" readingOrder="2"/>
    </xf>
    <xf numFmtId="0" fontId="12" fillId="0" borderId="0" applyAlignment="1" pivotButton="0" quotePrefix="0" xfId="0">
      <alignment horizontal="right" vertical="center" wrapText="1" readingOrder="2"/>
    </xf>
    <xf numFmtId="0" fontId="7" fillId="0" borderId="0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dxfs count="6">
    <dxf>
      <font>
        <name val="Tahoma"/>
        <b val="1"/>
        <color rgb="00FFFFFF"/>
      </font>
      <fill>
        <patternFill patternType="solid">
          <fgColor rgb="00E57373"/>
        </patternFill>
      </fill>
    </dxf>
    <dxf>
      <font>
        <name val="Tahoma"/>
        <b val="1"/>
        <color rgb="003B2A14"/>
      </font>
      <fill>
        <patternFill patternType="solid">
          <fgColor rgb="00FCE38A"/>
        </patternFill>
      </fill>
    </dxf>
    <dxf>
      <font>
        <name val="Tahoma"/>
        <color rgb="003B2A14"/>
      </font>
      <fill>
        <patternFill patternType="solid">
          <fgColor rgb="00D6EEDB"/>
        </patternFill>
      </fill>
    </dxf>
    <dxf>
      <font>
        <name val="Tahoma"/>
        <color rgb="008A8F8C"/>
      </font>
      <fill>
        <patternFill patternType="solid">
          <fgColor rgb="00E3E6E4"/>
        </patternFill>
      </fill>
    </dxf>
    <dxf>
      <font>
        <name val="Tahoma"/>
        <b val="1"/>
        <color rgb="003B2A14"/>
      </font>
      <fill>
        <patternFill patternType="solid">
          <fgColor rgb="00F4C7C3"/>
        </patternFill>
      </fill>
    </dxf>
    <dxf>
      <font>
        <name val="Tahoma"/>
        <color rgb="003B2A14"/>
      </font>
      <fill>
        <patternFill patternType="solid">
          <fgColor rgb="00FCE38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التكلفة لكل نوع معدة (ريال)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92400E"/>
            </a:solidFill>
            <a:ln xmlns:a="http://schemas.openxmlformats.org/drawingml/2006/main">
              <a:solidFill>
                <a:srgbClr val="92400E"/>
              </a:solidFill>
              <a:prstDash val="solid"/>
            </a:ln>
          </spPr>
          <cat>
            <numRef>
              <f>'سجل المعدات'!$E$8:$E$12</f>
            </numRef>
          </cat>
          <val>
            <numRef>
              <f>'سجل المعدات'!$G$8:$G$12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40</row>
      <rowOff>0</rowOff>
    </from>
    <ext cx="54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65A30D"/>
    <outlinePr summaryBelow="1" summaryRight="1"/>
    <pageSetUpPr fitToPage="1"/>
  </sheetPr>
  <dimension ref="A1:T37"/>
  <sheetViews>
    <sheetView showGridLines="0" rightToLeft="1" zoomScale="100" workbookViewId="0">
      <pane xSplit="1" ySplit="16" topLeftCell="B1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5" customWidth="1" min="2" max="2"/>
    <col width="10" customWidth="1" min="3" max="3"/>
    <col width="20" customWidth="1" min="4" max="4"/>
    <col width="9" customWidth="1" min="5" max="5"/>
    <col width="11" customWidth="1" min="6" max="6"/>
    <col width="11" customWidth="1" min="7" max="7"/>
    <col width="7" customWidth="1" min="8" max="8"/>
    <col width="8" customWidth="1" min="9" max="9"/>
    <col width="8" customWidth="1" min="10" max="10"/>
    <col width="11" customWidth="1" min="11" max="11"/>
    <col width="9" customWidth="1" min="12" max="12"/>
    <col width="9" customWidth="1" min="13" max="13"/>
    <col width="10" customWidth="1" min="14" max="14"/>
    <col width="11" customWidth="1" min="15" max="15"/>
    <col width="11" customWidth="1" min="16" max="16"/>
    <col width="11" customWidth="1" min="17" max="17"/>
    <col width="9" customWidth="1" min="18" max="18"/>
    <col width="3" customWidth="1" min="19" max="19"/>
    <col width="16" customWidth="1" min="20" max="20"/>
  </cols>
  <sheetData>
    <row r="1" ht="36" customHeight="1">
      <c r="A1" s="1" t="inlineStr">
        <is>
          <t>سجل المعدات الثقيلة: التكلفة والاستغلال وتنبيهات الصيانة والتأمين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</row>
    <row r="2" ht="18" customHeight="1">
      <c r="A2" s="3" t="inlineStr">
        <is>
          <t>سجّل كل معدة بتاريخها وتكلفتها فيحسب الشيت التكلفة اليومية ونسبة الاستغلال وينبّه لموعد الصيانة وانتهاء التأمين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  <c r="P2" s="4" t="n"/>
      <c r="Q2" s="4" t="n"/>
      <c r="R2" s="4" t="n"/>
      <c r="S2" s="4" t="n"/>
      <c r="T2" s="4" t="n"/>
    </row>
    <row r="4" ht="18" customHeight="1">
      <c r="E4" s="5" t="inlineStr">
        <is>
          <t>معدات نشطة</t>
        </is>
      </c>
      <c r="F4" s="6" t="n"/>
      <c r="G4" s="7" t="inlineStr">
        <is>
          <t>مؤجرة</t>
        </is>
      </c>
      <c r="H4" s="8" t="n"/>
      <c r="I4" s="8" t="n"/>
      <c r="J4" s="5" t="inlineStr">
        <is>
          <t>متوسط الاستغلال</t>
        </is>
      </c>
      <c r="K4" s="6" t="n"/>
      <c r="L4" s="6" t="n"/>
      <c r="M4" s="7" t="inlineStr">
        <is>
          <t>التكلفة حتى الآن (ريال)</t>
        </is>
      </c>
      <c r="N4" s="8" t="n"/>
      <c r="O4" s="8" t="n"/>
      <c r="P4" s="5" t="inlineStr">
        <is>
          <t>تنبيهات</t>
        </is>
      </c>
      <c r="Q4" s="6" t="n"/>
      <c r="R4" s="6" t="n"/>
      <c r="T4" s="9" t="inlineStr">
        <is>
          <t>النوع</t>
        </is>
      </c>
    </row>
    <row r="5" ht="34" customHeight="1">
      <c r="A5" s="10" t="inlineStr">
        <is>
          <t>الإعدادات</t>
        </is>
      </c>
      <c r="B5" s="11" t="n"/>
      <c r="C5" s="11" t="n"/>
      <c r="E5" s="12">
        <f>(COUNTA($A$17:$A$36)-COUNTIF($R$17:$R$36,INDEX($T$20:$T$23,4)))</f>
        <v/>
      </c>
      <c r="F5" s="13" t="n"/>
      <c r="G5" s="14">
        <f>COUNTIFS($C$17:$C$36,INDEX($T$16:$T$17,2),$R$17:$R$36,"&lt;&gt;"&amp;INDEX($T$20:$T$23,4))</f>
        <v/>
      </c>
      <c r="H5" s="15" t="n"/>
      <c r="I5" s="15" t="n"/>
      <c r="J5" s="16">
        <f>IFERROR(AVERAGE($J$17:$J$36),0)</f>
        <v/>
      </c>
      <c r="K5" s="13" t="n"/>
      <c r="L5" s="13" t="n"/>
      <c r="M5" s="17">
        <f>$O$37</f>
        <v/>
      </c>
      <c r="N5" s="15" t="n"/>
      <c r="O5" s="15" t="n"/>
      <c r="P5" s="12">
        <f>COUNTIF($S$17:$S$36,"&lt;&gt;OK")-COUNTIF($S$17:$S$36,"—")-COUNTBLANK($S$17:$S$36)</f>
        <v/>
      </c>
      <c r="Q5" s="13" t="n"/>
      <c r="R5" s="13" t="n"/>
      <c r="T5" s="18" t="inlineStr">
        <is>
          <t>حفار</t>
        </is>
      </c>
    </row>
    <row r="6">
      <c r="A6" s="19" t="inlineStr">
        <is>
          <t>تاريخ التقرير</t>
        </is>
      </c>
      <c r="C6" s="20" t="n">
        <v>46318</v>
      </c>
      <c r="T6" s="18" t="inlineStr">
        <is>
          <t>لودر</t>
        </is>
      </c>
    </row>
    <row r="7">
      <c r="A7" s="19" t="inlineStr">
        <is>
          <t>سعر لتر الديزل (ريال)</t>
        </is>
      </c>
      <c r="C7" s="21" t="n">
        <v>0.66</v>
      </c>
      <c r="E7" s="22" t="inlineStr">
        <is>
          <t>التكلفة حسب نوع المعدة</t>
        </is>
      </c>
      <c r="M7" s="22" t="inlineStr">
        <is>
          <t>ملاحظة</t>
        </is>
      </c>
      <c r="T7" s="18" t="inlineStr">
        <is>
          <t>رافعة</t>
        </is>
      </c>
    </row>
    <row r="8">
      <c r="A8" s="19" t="inlineStr">
        <is>
          <t>تنبيه الصيانة قبل (يوم)</t>
        </is>
      </c>
      <c r="C8" s="23" t="n">
        <v>14</v>
      </c>
      <c r="E8" s="24">
        <f>INDEX($T$5:$T$13,1)</f>
        <v/>
      </c>
      <c r="G8" s="25">
        <f>SUMIF($B$17:$B$36,E8,$O$17:$O$36)</f>
        <v/>
      </c>
      <c r="I8" s="24">
        <f>INDEX($T$5:$T$13,6)</f>
        <v/>
      </c>
      <c r="K8" s="25">
        <f>SUMIF($B$17:$B$36,I8,$O$17:$O$36)</f>
        <v/>
      </c>
      <c r="M8" s="26">
        <f>IF(SUMPRODUCT(($A$17:$A$36&lt;&gt;"")*(($F$17:$F$36="")))&gt;0,"بعض المعدات بلا تاريخ بدء","الاستغلال = أيام العمل ÷ أيام الموقع")</f>
        <v/>
      </c>
      <c r="T8" s="18" t="inlineStr">
        <is>
          <t>مضخة خرسانة</t>
        </is>
      </c>
    </row>
    <row r="9">
      <c r="A9" s="19" t="inlineStr">
        <is>
          <t>تنبيه التأمين قبل (يوم)</t>
        </is>
      </c>
      <c r="C9" s="23" t="n">
        <v>30</v>
      </c>
      <c r="E9" s="24">
        <f>INDEX($T$5:$T$13,2)</f>
        <v/>
      </c>
      <c r="G9" s="25">
        <f>SUMIF($B$17:$B$36,E9,$O$17:$O$36)</f>
        <v/>
      </c>
      <c r="I9" s="24">
        <f>INDEX($T$5:$T$13,7)</f>
        <v/>
      </c>
      <c r="K9" s="25">
        <f>SUMIF($B$17:$B$36,I9,$O$17:$O$36)</f>
        <v/>
      </c>
      <c r="T9" s="18" t="inlineStr">
        <is>
          <t>كمبروسر</t>
        </is>
      </c>
    </row>
    <row r="10">
      <c r="E10" s="24">
        <f>INDEX($T$5:$T$13,3)</f>
        <v/>
      </c>
      <c r="G10" s="25">
        <f>SUMIF($B$17:$B$36,E10,$O$17:$O$36)</f>
        <v/>
      </c>
      <c r="I10" s="24">
        <f>INDEX($T$5:$T$13,8)</f>
        <v/>
      </c>
      <c r="K10" s="25">
        <f>SUMIF($B$17:$B$36,I10,$O$17:$O$36)</f>
        <v/>
      </c>
      <c r="T10" s="18" t="inlineStr">
        <is>
          <t>مولد</t>
        </is>
      </c>
    </row>
    <row r="11">
      <c r="E11" s="24">
        <f>INDEX($T$5:$T$13,4)</f>
        <v/>
      </c>
      <c r="G11" s="25">
        <f>SUMIF($B$17:$B$36,E11,$O$17:$O$36)</f>
        <v/>
      </c>
      <c r="I11" s="24">
        <f>INDEX($T$5:$T$13,9)</f>
        <v/>
      </c>
      <c r="K11" s="25">
        <f>SUMIF($B$17:$B$36,I11,$O$17:$O$36)</f>
        <v/>
      </c>
      <c r="T11" s="18" t="inlineStr">
        <is>
          <t>شاحنة</t>
        </is>
      </c>
    </row>
    <row r="12">
      <c r="E12" s="24">
        <f>INDEX($T$5:$T$13,5)</f>
        <v/>
      </c>
      <c r="G12" s="25">
        <f>SUMIF($B$17:$B$36,E12,$O$17:$O$36)</f>
        <v/>
      </c>
      <c r="T12" s="18" t="inlineStr">
        <is>
          <t>سقالات</t>
        </is>
      </c>
    </row>
    <row r="13">
      <c r="T13" s="18" t="inlineStr">
        <is>
          <t>أخرى</t>
        </is>
      </c>
    </row>
    <row r="15" ht="22" customHeight="1">
      <c r="A15" s="10" t="inlineStr">
        <is>
          <t>السجل</t>
        </is>
      </c>
      <c r="B15" s="11" t="n"/>
      <c r="C15" s="11" t="n"/>
      <c r="D15" s="11" t="n"/>
      <c r="E15" s="11" t="n"/>
      <c r="F15" s="11" t="n"/>
      <c r="G15" s="11" t="n"/>
      <c r="H15" s="11" t="n"/>
      <c r="I15" s="11" t="n"/>
      <c r="J15" s="11" t="n"/>
      <c r="K15" s="11" t="n"/>
      <c r="L15" s="11" t="n"/>
      <c r="M15" s="11" t="n"/>
      <c r="N15" s="11" t="n"/>
      <c r="O15" s="11" t="n"/>
      <c r="P15" s="11" t="n"/>
      <c r="Q15" s="11" t="n"/>
      <c r="R15" s="11" t="n"/>
      <c r="T15" s="9" t="inlineStr">
        <is>
          <t>الملكية</t>
        </is>
      </c>
    </row>
    <row r="16" ht="44" customHeight="1">
      <c r="A16" s="9" t="inlineStr">
        <is>
          <t>المعدة</t>
        </is>
      </c>
      <c r="B16" s="9" t="inlineStr">
        <is>
          <t>النوع</t>
        </is>
      </c>
      <c r="C16" s="9" t="inlineStr">
        <is>
          <t>الملكية</t>
        </is>
      </c>
      <c r="D16" s="9" t="inlineStr">
        <is>
          <t>المورد</t>
        </is>
      </c>
      <c r="E16" s="9" t="inlineStr">
        <is>
          <t>إيجار/يوم</t>
        </is>
      </c>
      <c r="F16" s="9" t="inlineStr">
        <is>
          <t>بدء العمل</t>
        </is>
      </c>
      <c r="G16" s="9" t="inlineStr">
        <is>
          <t>نهاية العمل</t>
        </is>
      </c>
      <c r="H16" s="9" t="inlineStr">
        <is>
          <t>أيام بالموقع</t>
        </is>
      </c>
      <c r="I16" s="9" t="inlineStr">
        <is>
          <t>أيام عمل</t>
        </is>
      </c>
      <c r="J16" s="9" t="inlineStr">
        <is>
          <t>الاستغلال</t>
        </is>
      </c>
      <c r="K16" s="9" t="inlineStr">
        <is>
          <t>تكلفة التأجير</t>
        </is>
      </c>
      <c r="L16" s="9" t="inlineStr">
        <is>
          <t>وقود (لتر)</t>
        </is>
      </c>
      <c r="M16" s="9" t="inlineStr">
        <is>
          <t>تكلفة الوقود</t>
        </is>
      </c>
      <c r="N16" s="9" t="inlineStr">
        <is>
          <t>مشغّل/يوم</t>
        </is>
      </c>
      <c r="O16" s="9" t="inlineStr">
        <is>
          <t>الإجمالي</t>
        </is>
      </c>
      <c r="P16" s="9" t="inlineStr">
        <is>
          <t>الصيانة القادمة</t>
        </is>
      </c>
      <c r="Q16" s="9" t="inlineStr">
        <is>
          <t>انتهاء التأمين</t>
        </is>
      </c>
      <c r="R16" s="9" t="inlineStr">
        <is>
          <t>الحالة</t>
        </is>
      </c>
      <c r="S16" s="9" t="inlineStr">
        <is>
          <t>تنبيه</t>
        </is>
      </c>
      <c r="T16" s="18" t="inlineStr">
        <is>
          <t>مملوك</t>
        </is>
      </c>
    </row>
    <row r="17">
      <c r="A17" s="27" t="inlineStr">
        <is>
          <t>حفار كوماتسو PC200</t>
        </is>
      </c>
      <c r="B17" s="18" t="inlineStr">
        <is>
          <t>حفار</t>
        </is>
      </c>
      <c r="C17" s="18" t="inlineStr">
        <is>
          <t>مؤجر</t>
        </is>
      </c>
      <c r="D17" s="18" t="inlineStr">
        <is>
          <t>شركة الراجحي للمعدات</t>
        </is>
      </c>
      <c r="E17" s="28" t="n">
        <v>1100</v>
      </c>
      <c r="F17" s="20" t="n">
        <v>46248</v>
      </c>
      <c r="G17" s="20" t="n"/>
      <c r="H17" s="29">
        <f>IF(ISNUMBER(F17),IF(ISNUMBER(G17),G17,$C$6)-F17+1,"")</f>
        <v/>
      </c>
      <c r="I17" s="23" t="n">
        <v>62</v>
      </c>
      <c r="J17" s="30">
        <f>IF(AND(N(H17)&gt;0,N(I17)&gt;=0,I17&lt;&gt;""),MIN(1,I17/H17),"")</f>
        <v/>
      </c>
      <c r="K17" s="25">
        <f>IF(H17="","",H17*N(E17))</f>
        <v/>
      </c>
      <c r="L17" s="28" t="n">
        <v>3600</v>
      </c>
      <c r="M17" s="25">
        <f>IF(L17="","",L17*$C$7)</f>
        <v/>
      </c>
      <c r="N17" s="28" t="n">
        <v>250</v>
      </c>
      <c r="O17" s="25">
        <f>IF(H17="","",N(K17)+N(M17)+H17*N(N17))</f>
        <v/>
      </c>
      <c r="P17" s="20" t="n">
        <v>46298</v>
      </c>
      <c r="Q17" s="20" t="n">
        <v>46438</v>
      </c>
      <c r="R17" s="18" t="inlineStr">
        <is>
          <t>يعمل</t>
        </is>
      </c>
      <c r="S17" s="26">
        <f>IF(A17="","",IF(R17=INDEX($T$20:$T$23,4),"—",IF(AND(ISNUMBER(Q17),Q17&lt;$C$6),"التأمين منتهٍ",IF(AND(ISNUMBER(P17),P17&lt;$C$6),"الصيانة متأخرة",IF(AND(ISNUMBER(P17),P17-$C$6&lt;=$C$8),"صيانة قريبة",IF(AND(ISNUMBER(Q17),Q17-$C$6&lt;=$C$9),"تأمين ينتهي قريبًا","OK"))))))</f>
        <v/>
      </c>
      <c r="T17" s="18" t="inlineStr">
        <is>
          <t>مؤجر</t>
        </is>
      </c>
    </row>
    <row r="18">
      <c r="A18" s="27" t="inlineStr">
        <is>
          <t>لودر كاتربيلر 950</t>
        </is>
      </c>
      <c r="B18" s="18" t="inlineStr">
        <is>
          <t>لودر</t>
        </is>
      </c>
      <c r="C18" s="18" t="inlineStr">
        <is>
          <t>مؤجر</t>
        </is>
      </c>
      <c r="D18" s="18" t="inlineStr">
        <is>
          <t>شركة الراجحي للمعدات</t>
        </is>
      </c>
      <c r="E18" s="28" t="n">
        <v>900</v>
      </c>
      <c r="F18" s="20" t="n">
        <v>46263</v>
      </c>
      <c r="G18" s="20" t="n"/>
      <c r="H18" s="29">
        <f>IF(ISNUMBER(F18),IF(ISNUMBER(G18),G18,$C$6)-F18+1,"")</f>
        <v/>
      </c>
      <c r="I18" s="23" t="n">
        <v>40</v>
      </c>
      <c r="J18" s="30">
        <f>IF(AND(N(H18)&gt;0,N(I18)&gt;=0,I18&lt;&gt;""),MIN(1,I18/H18),"")</f>
        <v/>
      </c>
      <c r="K18" s="25">
        <f>IF(H18="","",H18*N(E18))</f>
        <v/>
      </c>
      <c r="L18" s="28" t="n">
        <v>1800</v>
      </c>
      <c r="M18" s="25">
        <f>IF(L18="","",L18*$C$7)</f>
        <v/>
      </c>
      <c r="N18" s="28" t="n">
        <v>220</v>
      </c>
      <c r="O18" s="25">
        <f>IF(H18="","",N(K18)+N(M18)+H18*N(N18))</f>
        <v/>
      </c>
      <c r="P18" s="20" t="n">
        <v>46330</v>
      </c>
      <c r="Q18" s="20" t="n">
        <v>46518</v>
      </c>
      <c r="R18" s="18" t="inlineStr">
        <is>
          <t>متوقف</t>
        </is>
      </c>
      <c r="S18" s="26">
        <f>IF(A18="","",IF(R18=INDEX($T$20:$T$23,4),"—",IF(AND(ISNUMBER(Q18),Q18&lt;$C$6),"التأمين منتهٍ",IF(AND(ISNUMBER(P18),P18&lt;$C$6),"الصيانة متأخرة",IF(AND(ISNUMBER(P18),P18-$C$6&lt;=$C$8),"صيانة قريبة",IF(AND(ISNUMBER(Q18),Q18-$C$6&lt;=$C$9),"تأمين ينتهي قريبًا","OK"))))))</f>
        <v/>
      </c>
    </row>
    <row r="19" ht="30" customHeight="1">
      <c r="A19" s="27" t="inlineStr">
        <is>
          <t>رافعة برجية 8 طن</t>
        </is>
      </c>
      <c r="B19" s="18" t="inlineStr">
        <is>
          <t>رافعة</t>
        </is>
      </c>
      <c r="C19" s="18" t="inlineStr">
        <is>
          <t>مؤجر</t>
        </is>
      </c>
      <c r="D19" s="18" t="inlineStr">
        <is>
          <t>الخليج للرافعات</t>
        </is>
      </c>
      <c r="E19" s="28" t="n">
        <v>2500</v>
      </c>
      <c r="F19" s="20" t="n">
        <v>46273</v>
      </c>
      <c r="G19" s="20" t="n"/>
      <c r="H19" s="29">
        <f>IF(ISNUMBER(F19),IF(ISNUMBER(G19),G19,$C$6)-F19+1,"")</f>
        <v/>
      </c>
      <c r="I19" s="23" t="n">
        <v>38</v>
      </c>
      <c r="J19" s="30">
        <f>IF(AND(N(H19)&gt;0,N(I19)&gt;=0,I19&lt;&gt;""),MIN(1,I19/H19),"")</f>
        <v/>
      </c>
      <c r="K19" s="25">
        <f>IF(H19="","",H19*N(E19))</f>
        <v/>
      </c>
      <c r="L19" s="28" t="n">
        <v>0</v>
      </c>
      <c r="M19" s="25">
        <f>IF(L19="","",L19*$C$7)</f>
        <v/>
      </c>
      <c r="N19" s="28" t="n">
        <v>400</v>
      </c>
      <c r="O19" s="25">
        <f>IF(H19="","",N(K19)+N(M19)+H19*N(N19))</f>
        <v/>
      </c>
      <c r="P19" s="20" t="n">
        <v>46323</v>
      </c>
      <c r="Q19" s="20" t="n">
        <v>46408</v>
      </c>
      <c r="R19" s="18" t="inlineStr">
        <is>
          <t>يعمل</t>
        </is>
      </c>
      <c r="S19" s="26">
        <f>IF(A19="","",IF(R19=INDEX($T$20:$T$23,4),"—",IF(AND(ISNUMBER(Q19),Q19&lt;$C$6),"التأمين منتهٍ",IF(AND(ISNUMBER(P19),P19&lt;$C$6),"الصيانة متأخرة",IF(AND(ISNUMBER(P19),P19-$C$6&lt;=$C$8),"صيانة قريبة",IF(AND(ISNUMBER(Q19),Q19-$C$6&lt;=$C$9),"تأمين ينتهي قريبًا","OK"))))))</f>
        <v/>
      </c>
      <c r="T19" s="9" t="inlineStr">
        <is>
          <t>الحالة</t>
        </is>
      </c>
    </row>
    <row r="20">
      <c r="A20" s="27" t="inlineStr">
        <is>
          <t>مضخة خرسانة</t>
        </is>
      </c>
      <c r="B20" s="18" t="inlineStr">
        <is>
          <t>مضخة خرسانة</t>
        </is>
      </c>
      <c r="C20" s="18" t="inlineStr">
        <is>
          <t>مؤجر</t>
        </is>
      </c>
      <c r="D20" s="18" t="inlineStr">
        <is>
          <t>مضخات الشرق</t>
        </is>
      </c>
      <c r="E20" s="28" t="n">
        <v>1800</v>
      </c>
      <c r="F20" s="20" t="n">
        <v>46288</v>
      </c>
      <c r="G20" s="20" t="n">
        <v>46293</v>
      </c>
      <c r="H20" s="29">
        <f>IF(ISNUMBER(F20),IF(ISNUMBER(G20),G20,$C$6)-F20+1,"")</f>
        <v/>
      </c>
      <c r="I20" s="23" t="n">
        <v>5</v>
      </c>
      <c r="J20" s="30">
        <f>IF(AND(N(H20)&gt;0,N(I20)&gt;=0,I20&lt;&gt;""),MIN(1,I20/H20),"")</f>
        <v/>
      </c>
      <c r="K20" s="25">
        <f>IF(H20="","",H20*N(E20))</f>
        <v/>
      </c>
      <c r="L20" s="28" t="n">
        <v>300</v>
      </c>
      <c r="M20" s="25">
        <f>IF(L20="","",L20*$C$7)</f>
        <v/>
      </c>
      <c r="N20" s="28" t="n">
        <v>220</v>
      </c>
      <c r="O20" s="25">
        <f>IF(H20="","",N(K20)+N(M20)+H20*N(N20))</f>
        <v/>
      </c>
      <c r="P20" s="20" t="n">
        <v>46278</v>
      </c>
      <c r="Q20" s="20" t="n">
        <v>46378</v>
      </c>
      <c r="R20" s="18" t="inlineStr">
        <is>
          <t>أُعيد للمورد</t>
        </is>
      </c>
      <c r="S20" s="26">
        <f>IF(A20="","",IF(R20=INDEX($T$20:$T$23,4),"—",IF(AND(ISNUMBER(Q20),Q20&lt;$C$6),"التأمين منتهٍ",IF(AND(ISNUMBER(P20),P20&lt;$C$6),"الصيانة متأخرة",IF(AND(ISNUMBER(P20),P20-$C$6&lt;=$C$8),"صيانة قريبة",IF(AND(ISNUMBER(Q20),Q20-$C$6&lt;=$C$9),"تأمين ينتهي قريبًا","OK"))))))</f>
        <v/>
      </c>
      <c r="T20" s="18" t="inlineStr">
        <is>
          <t>يعمل</t>
        </is>
      </c>
    </row>
    <row r="21">
      <c r="A21" s="27" t="inlineStr">
        <is>
          <t>كمبروسر هواء</t>
        </is>
      </c>
      <c r="B21" s="18" t="inlineStr">
        <is>
          <t>كمبروسر</t>
        </is>
      </c>
      <c r="C21" s="18" t="inlineStr">
        <is>
          <t>مملوك</t>
        </is>
      </c>
      <c r="D21" s="18" t="inlineStr">
        <is>
          <t>-</t>
        </is>
      </c>
      <c r="E21" s="28" t="n">
        <v>150</v>
      </c>
      <c r="F21" s="20" t="n">
        <v>46228</v>
      </c>
      <c r="G21" s="20" t="n"/>
      <c r="H21" s="29">
        <f>IF(ISNUMBER(F21),IF(ISNUMBER(G21),G21,$C$6)-F21+1,"")</f>
        <v/>
      </c>
      <c r="I21" s="23" t="n">
        <v>55</v>
      </c>
      <c r="J21" s="30">
        <f>IF(AND(N(H21)&gt;0,N(I21)&gt;=0,I21&lt;&gt;""),MIN(1,I21/H21),"")</f>
        <v/>
      </c>
      <c r="K21" s="25">
        <f>IF(H21="","",H21*N(E21))</f>
        <v/>
      </c>
      <c r="L21" s="28" t="n">
        <v>900</v>
      </c>
      <c r="M21" s="25">
        <f>IF(L21="","",L21*$C$7)</f>
        <v/>
      </c>
      <c r="N21" s="28" t="n">
        <v>0</v>
      </c>
      <c r="O21" s="25">
        <f>IF(H21="","",N(K21)+N(M21)+H21*N(N21))</f>
        <v/>
      </c>
      <c r="P21" s="20" t="n">
        <v>46358</v>
      </c>
      <c r="Q21" s="20" t="n">
        <v>46343</v>
      </c>
      <c r="R21" s="18" t="inlineStr">
        <is>
          <t>يعمل</t>
        </is>
      </c>
      <c r="S21" s="26">
        <f>IF(A21="","",IF(R21=INDEX($T$20:$T$23,4),"—",IF(AND(ISNUMBER(Q21),Q21&lt;$C$6),"التأمين منتهٍ",IF(AND(ISNUMBER(P21),P21&lt;$C$6),"الصيانة متأخرة",IF(AND(ISNUMBER(P21),P21-$C$6&lt;=$C$8),"صيانة قريبة",IF(AND(ISNUMBER(Q21),Q21-$C$6&lt;=$C$9),"تأمين ينتهي قريبًا","OK"))))))</f>
        <v/>
      </c>
      <c r="T21" s="18" t="inlineStr">
        <is>
          <t>متوقف</t>
        </is>
      </c>
    </row>
    <row r="22">
      <c r="A22" s="27" t="inlineStr">
        <is>
          <t>مولد 250 kVA</t>
        </is>
      </c>
      <c r="B22" s="18" t="inlineStr">
        <is>
          <t>مولد</t>
        </is>
      </c>
      <c r="C22" s="18" t="inlineStr">
        <is>
          <t>مملوك</t>
        </is>
      </c>
      <c r="D22" s="18" t="inlineStr">
        <is>
          <t>-</t>
        </is>
      </c>
      <c r="E22" s="28" t="n">
        <v>300</v>
      </c>
      <c r="F22" s="20" t="n">
        <v>46218</v>
      </c>
      <c r="G22" s="20" t="n"/>
      <c r="H22" s="29">
        <f>IF(ISNUMBER(F22),IF(ISNUMBER(G22),G22,$C$6)-F22+1,"")</f>
        <v/>
      </c>
      <c r="I22" s="23" t="n">
        <v>90</v>
      </c>
      <c r="J22" s="30">
        <f>IF(AND(N(H22)&gt;0,N(I22)&gt;=0,I22&lt;&gt;""),MIN(1,I22/H22),"")</f>
        <v/>
      </c>
      <c r="K22" s="25">
        <f>IF(H22="","",H22*N(E22))</f>
        <v/>
      </c>
      <c r="L22" s="28" t="n">
        <v>5200</v>
      </c>
      <c r="M22" s="25">
        <f>IF(L22="","",L22*$C$7)</f>
        <v/>
      </c>
      <c r="N22" s="28" t="n">
        <v>0</v>
      </c>
      <c r="O22" s="25">
        <f>IF(H22="","",N(K22)+N(M22)+H22*N(N22))</f>
        <v/>
      </c>
      <c r="P22" s="20" t="n">
        <v>46326</v>
      </c>
      <c r="Q22" s="20" t="n">
        <v>46558</v>
      </c>
      <c r="R22" s="18" t="inlineStr">
        <is>
          <t>يعمل</t>
        </is>
      </c>
      <c r="S22" s="26">
        <f>IF(A22="","",IF(R22=INDEX($T$20:$T$23,4),"—",IF(AND(ISNUMBER(Q22),Q22&lt;$C$6),"التأمين منتهٍ",IF(AND(ISNUMBER(P22),P22&lt;$C$6),"الصيانة متأخرة",IF(AND(ISNUMBER(P22),P22-$C$6&lt;=$C$8),"صيانة قريبة",IF(AND(ISNUMBER(Q22),Q22-$C$6&lt;=$C$9),"تأمين ينتهي قريبًا","OK"))))))</f>
        <v/>
      </c>
      <c r="T22" s="18" t="inlineStr">
        <is>
          <t>عطل</t>
        </is>
      </c>
    </row>
    <row r="23">
      <c r="A23" s="27" t="inlineStr">
        <is>
          <t>شاحنة نقل قلاب</t>
        </is>
      </c>
      <c r="B23" s="18" t="inlineStr">
        <is>
          <t>شاحنة</t>
        </is>
      </c>
      <c r="C23" s="18" t="inlineStr">
        <is>
          <t>مؤجر</t>
        </is>
      </c>
      <c r="D23" s="18" t="inlineStr">
        <is>
          <t>نقل المدينة</t>
        </is>
      </c>
      <c r="E23" s="28" t="n">
        <v>650</v>
      </c>
      <c r="F23" s="20" t="n">
        <v>46258</v>
      </c>
      <c r="G23" s="20" t="n"/>
      <c r="H23" s="29">
        <f>IF(ISNUMBER(F23),IF(ISNUMBER(G23),G23,$C$6)-F23+1,"")</f>
        <v/>
      </c>
      <c r="I23" s="23" t="n">
        <v>48</v>
      </c>
      <c r="J23" s="30">
        <f>IF(AND(N(H23)&gt;0,N(I23)&gt;=0,I23&lt;&gt;""),MIN(1,I23/H23),"")</f>
        <v/>
      </c>
      <c r="K23" s="25">
        <f>IF(H23="","",H23*N(E23))</f>
        <v/>
      </c>
      <c r="L23" s="28" t="n">
        <v>2400</v>
      </c>
      <c r="M23" s="25">
        <f>IF(L23="","",L23*$C$7)</f>
        <v/>
      </c>
      <c r="N23" s="28" t="n">
        <v>200</v>
      </c>
      <c r="O23" s="25">
        <f>IF(H23="","",N(K23)+N(M23)+H23*N(N23))</f>
        <v/>
      </c>
      <c r="P23" s="20" t="n">
        <v>46340</v>
      </c>
      <c r="Q23" s="20" t="n">
        <v>46468</v>
      </c>
      <c r="R23" s="18" t="inlineStr">
        <is>
          <t>متوقف</t>
        </is>
      </c>
      <c r="S23" s="26">
        <f>IF(A23="","",IF(R23=INDEX($T$20:$T$23,4),"—",IF(AND(ISNUMBER(Q23),Q23&lt;$C$6),"التأمين منتهٍ",IF(AND(ISNUMBER(P23),P23&lt;$C$6),"الصيانة متأخرة",IF(AND(ISNUMBER(P23),P23-$C$6&lt;=$C$8),"صيانة قريبة",IF(AND(ISNUMBER(Q23),Q23-$C$6&lt;=$C$9),"تأمين ينتهي قريبًا","OK"))))))</f>
        <v/>
      </c>
      <c r="T23" s="18" t="inlineStr">
        <is>
          <t>أُعيد للمورد</t>
        </is>
      </c>
    </row>
    <row r="24">
      <c r="A24" s="27" t="inlineStr">
        <is>
          <t>سقالات معدنية (طقم)</t>
        </is>
      </c>
      <c r="B24" s="18" t="inlineStr">
        <is>
          <t>سقالات</t>
        </is>
      </c>
      <c r="C24" s="18" t="inlineStr">
        <is>
          <t>مؤجر</t>
        </is>
      </c>
      <c r="D24" s="18" t="inlineStr">
        <is>
          <t>سقالات المملكة</t>
        </is>
      </c>
      <c r="E24" s="28" t="n">
        <v>120</v>
      </c>
      <c r="F24" s="20" t="n">
        <v>46238</v>
      </c>
      <c r="G24" s="20" t="n"/>
      <c r="H24" s="29">
        <f>IF(ISNUMBER(F24),IF(ISNUMBER(G24),G24,$C$6)-F24+1,"")</f>
        <v/>
      </c>
      <c r="I24" s="23" t="n">
        <v>80</v>
      </c>
      <c r="J24" s="30">
        <f>IF(AND(N(H24)&gt;0,N(I24)&gt;=0,I24&lt;&gt;""),MIN(1,I24/H24),"")</f>
        <v/>
      </c>
      <c r="K24" s="25">
        <f>IF(H24="","",H24*N(E24))</f>
        <v/>
      </c>
      <c r="L24" s="28" t="n">
        <v>0</v>
      </c>
      <c r="M24" s="25">
        <f>IF(L24="","",L24*$C$7)</f>
        <v/>
      </c>
      <c r="N24" s="28" t="n">
        <v>0</v>
      </c>
      <c r="O24" s="25">
        <f>IF(H24="","",N(K24)+N(M24)+H24*N(N24))</f>
        <v/>
      </c>
      <c r="P24" s="20" t="n">
        <v>46408</v>
      </c>
      <c r="Q24" s="20" t="n">
        <v>46618</v>
      </c>
      <c r="R24" s="18" t="inlineStr">
        <is>
          <t>يعمل</t>
        </is>
      </c>
      <c r="S24" s="26">
        <f>IF(A24="","",IF(R24=INDEX($T$20:$T$23,4),"—",IF(AND(ISNUMBER(Q24),Q24&lt;$C$6),"التأمين منتهٍ",IF(AND(ISNUMBER(P24),P24&lt;$C$6),"الصيانة متأخرة",IF(AND(ISNUMBER(P24),P24-$C$6&lt;=$C$8),"صيانة قريبة",IF(AND(ISNUMBER(Q24),Q24-$C$6&lt;=$C$9),"تأمين ينتهي قريبًا","OK"))))))</f>
        <v/>
      </c>
    </row>
    <row r="25">
      <c r="A25" s="27" t="inlineStr">
        <is>
          <t>حفار صغير Bobcat</t>
        </is>
      </c>
      <c r="B25" s="18" t="inlineStr">
        <is>
          <t>حفار</t>
        </is>
      </c>
      <c r="C25" s="18" t="inlineStr">
        <is>
          <t>مؤجر</t>
        </is>
      </c>
      <c r="D25" s="18" t="inlineStr">
        <is>
          <t>ذراع المقاولين</t>
        </is>
      </c>
      <c r="E25" s="28" t="n">
        <v>700</v>
      </c>
      <c r="F25" s="20" t="n">
        <v>46293</v>
      </c>
      <c r="G25" s="20" t="n"/>
      <c r="H25" s="29">
        <f>IF(ISNUMBER(F25),IF(ISNUMBER(G25),G25,$C$6)-F25+1,"")</f>
        <v/>
      </c>
      <c r="I25" s="23" t="n">
        <v>14</v>
      </c>
      <c r="J25" s="30">
        <f>IF(AND(N(H25)&gt;0,N(I25)&gt;=0,I25&lt;&gt;""),MIN(1,I25/H25),"")</f>
        <v/>
      </c>
      <c r="K25" s="25">
        <f>IF(H25="","",H25*N(E25))</f>
        <v/>
      </c>
      <c r="L25" s="28" t="n">
        <v>700</v>
      </c>
      <c r="M25" s="25">
        <f>IF(L25="","",L25*$C$7)</f>
        <v/>
      </c>
      <c r="N25" s="28" t="n">
        <v>200</v>
      </c>
      <c r="O25" s="25">
        <f>IF(H25="","",N(K25)+N(M25)+H25*N(N25))</f>
        <v/>
      </c>
      <c r="P25" s="20" t="n">
        <v>46321</v>
      </c>
      <c r="Q25" s="20" t="n">
        <v>46363</v>
      </c>
      <c r="R25" s="18" t="inlineStr">
        <is>
          <t>عطل</t>
        </is>
      </c>
      <c r="S25" s="26">
        <f>IF(A25="","",IF(R25=INDEX($T$20:$T$23,4),"—",IF(AND(ISNUMBER(Q25),Q25&lt;$C$6),"التأمين منتهٍ",IF(AND(ISNUMBER(P25),P25&lt;$C$6),"الصيانة متأخرة",IF(AND(ISNUMBER(P25),P25-$C$6&lt;=$C$8),"صيانة قريبة",IF(AND(ISNUMBER(Q25),Q25-$C$6&lt;=$C$9),"تأمين ينتهي قريبًا","OK"))))))</f>
        <v/>
      </c>
    </row>
    <row r="26">
      <c r="A26" s="27" t="inlineStr">
        <is>
          <t>خلاطة خرسانة صغيرة</t>
        </is>
      </c>
      <c r="B26" s="18" t="inlineStr">
        <is>
          <t>أخرى</t>
        </is>
      </c>
      <c r="C26" s="18" t="inlineStr">
        <is>
          <t>مملوك</t>
        </is>
      </c>
      <c r="D26" s="18" t="inlineStr">
        <is>
          <t>-</t>
        </is>
      </c>
      <c r="E26" s="28" t="n">
        <v>60</v>
      </c>
      <c r="F26" s="20" t="n">
        <v>46198</v>
      </c>
      <c r="G26" s="20" t="n"/>
      <c r="H26" s="29">
        <f>IF(ISNUMBER(F26),IF(ISNUMBER(G26),G26,$C$6)-F26+1,"")</f>
        <v/>
      </c>
      <c r="I26" s="23" t="n">
        <v>70</v>
      </c>
      <c r="J26" s="30">
        <f>IF(AND(N(H26)&gt;0,N(I26)&gt;=0,I26&lt;&gt;""),MIN(1,I26/H26),"")</f>
        <v/>
      </c>
      <c r="K26" s="25">
        <f>IF(H26="","",H26*N(E26))</f>
        <v/>
      </c>
      <c r="L26" s="28" t="n">
        <v>0</v>
      </c>
      <c r="M26" s="25">
        <f>IF(L26="","",L26*$C$7)</f>
        <v/>
      </c>
      <c r="N26" s="28" t="n">
        <v>0</v>
      </c>
      <c r="O26" s="25">
        <f>IF(H26="","",N(K26)+N(M26)+H26*N(N26))</f>
        <v/>
      </c>
      <c r="P26" s="20" t="n">
        <v>46353</v>
      </c>
      <c r="Q26" s="20" t="n">
        <v>46498</v>
      </c>
      <c r="R26" s="18" t="inlineStr">
        <is>
          <t>يعمل</t>
        </is>
      </c>
      <c r="S26" s="26">
        <f>IF(A26="","",IF(R26=INDEX($T$20:$T$23,4),"—",IF(AND(ISNUMBER(Q26),Q26&lt;$C$6),"التأمين منتهٍ",IF(AND(ISNUMBER(P26),P26&lt;$C$6),"الصيانة متأخرة",IF(AND(ISNUMBER(P26),P26-$C$6&lt;=$C$8),"صيانة قريبة",IF(AND(ISNUMBER(Q26),Q26-$C$6&lt;=$C$9),"تأمين ينتهي قريبًا","OK"))))))</f>
        <v/>
      </c>
    </row>
    <row r="27">
      <c r="A27" s="27" t="n"/>
      <c r="B27" s="18" t="n"/>
      <c r="C27" s="18" t="n"/>
      <c r="D27" s="18" t="n"/>
      <c r="E27" s="28" t="n"/>
      <c r="F27" s="20" t="n"/>
      <c r="G27" s="20" t="n"/>
      <c r="H27" s="29">
        <f>IF(ISNUMBER(F27),IF(ISNUMBER(G27),G27,$C$6)-F27+1,"")</f>
        <v/>
      </c>
      <c r="I27" s="23" t="n"/>
      <c r="J27" s="30">
        <f>IF(AND(N(H27)&gt;0,N(I27)&gt;=0,I27&lt;&gt;""),MIN(1,I27/H27),"")</f>
        <v/>
      </c>
      <c r="K27" s="25">
        <f>IF(H27="","",H27*N(E27))</f>
        <v/>
      </c>
      <c r="L27" s="28" t="n"/>
      <c r="M27" s="25">
        <f>IF(L27="","",L27*$C$7)</f>
        <v/>
      </c>
      <c r="N27" s="28" t="n"/>
      <c r="O27" s="25">
        <f>IF(H27="","",N(K27)+N(M27)+H27*N(N27))</f>
        <v/>
      </c>
      <c r="P27" s="20" t="n"/>
      <c r="Q27" s="20" t="n"/>
      <c r="R27" s="18" t="n"/>
      <c r="S27" s="26">
        <f>IF(A27="","",IF(R27=INDEX($T$20:$T$23,4),"—",IF(AND(ISNUMBER(Q27),Q27&lt;$C$6),"التأمين منتهٍ",IF(AND(ISNUMBER(P27),P27&lt;$C$6),"الصيانة متأخرة",IF(AND(ISNUMBER(P27),P27-$C$6&lt;=$C$8),"صيانة قريبة",IF(AND(ISNUMBER(Q27),Q27-$C$6&lt;=$C$9),"تأمين ينتهي قريبًا","OK"))))))</f>
        <v/>
      </c>
    </row>
    <row r="28">
      <c r="A28" s="27" t="n"/>
      <c r="B28" s="18" t="n"/>
      <c r="C28" s="18" t="n"/>
      <c r="D28" s="18" t="n"/>
      <c r="E28" s="28" t="n"/>
      <c r="F28" s="20" t="n"/>
      <c r="G28" s="20" t="n"/>
      <c r="H28" s="29">
        <f>IF(ISNUMBER(F28),IF(ISNUMBER(G28),G28,$C$6)-F28+1,"")</f>
        <v/>
      </c>
      <c r="I28" s="23" t="n"/>
      <c r="J28" s="30">
        <f>IF(AND(N(H28)&gt;0,N(I28)&gt;=0,I28&lt;&gt;""),MIN(1,I28/H28),"")</f>
        <v/>
      </c>
      <c r="K28" s="25">
        <f>IF(H28="","",H28*N(E28))</f>
        <v/>
      </c>
      <c r="L28" s="28" t="n"/>
      <c r="M28" s="25">
        <f>IF(L28="","",L28*$C$7)</f>
        <v/>
      </c>
      <c r="N28" s="28" t="n"/>
      <c r="O28" s="25">
        <f>IF(H28="","",N(K28)+N(M28)+H28*N(N28))</f>
        <v/>
      </c>
      <c r="P28" s="20" t="n"/>
      <c r="Q28" s="20" t="n"/>
      <c r="R28" s="18" t="n"/>
      <c r="S28" s="26">
        <f>IF(A28="","",IF(R28=INDEX($T$20:$T$23,4),"—",IF(AND(ISNUMBER(Q28),Q28&lt;$C$6),"التأمين منتهٍ",IF(AND(ISNUMBER(P28),P28&lt;$C$6),"الصيانة متأخرة",IF(AND(ISNUMBER(P28),P28-$C$6&lt;=$C$8),"صيانة قريبة",IF(AND(ISNUMBER(Q28),Q28-$C$6&lt;=$C$9),"تأمين ينتهي قريبًا","OK"))))))</f>
        <v/>
      </c>
    </row>
    <row r="29">
      <c r="A29" s="27" t="n"/>
      <c r="B29" s="18" t="n"/>
      <c r="C29" s="18" t="n"/>
      <c r="D29" s="18" t="n"/>
      <c r="E29" s="28" t="n"/>
      <c r="F29" s="20" t="n"/>
      <c r="G29" s="20" t="n"/>
      <c r="H29" s="29">
        <f>IF(ISNUMBER(F29),IF(ISNUMBER(G29),G29,$C$6)-F29+1,"")</f>
        <v/>
      </c>
      <c r="I29" s="23" t="n"/>
      <c r="J29" s="30">
        <f>IF(AND(N(H29)&gt;0,N(I29)&gt;=0,I29&lt;&gt;""),MIN(1,I29/H29),"")</f>
        <v/>
      </c>
      <c r="K29" s="25">
        <f>IF(H29="","",H29*N(E29))</f>
        <v/>
      </c>
      <c r="L29" s="28" t="n"/>
      <c r="M29" s="25">
        <f>IF(L29="","",L29*$C$7)</f>
        <v/>
      </c>
      <c r="N29" s="28" t="n"/>
      <c r="O29" s="25">
        <f>IF(H29="","",N(K29)+N(M29)+H29*N(N29))</f>
        <v/>
      </c>
      <c r="P29" s="20" t="n"/>
      <c r="Q29" s="20" t="n"/>
      <c r="R29" s="18" t="n"/>
      <c r="S29" s="26">
        <f>IF(A29="","",IF(R29=INDEX($T$20:$T$23,4),"—",IF(AND(ISNUMBER(Q29),Q29&lt;$C$6),"التأمين منتهٍ",IF(AND(ISNUMBER(P29),P29&lt;$C$6),"الصيانة متأخرة",IF(AND(ISNUMBER(P29),P29-$C$6&lt;=$C$8),"صيانة قريبة",IF(AND(ISNUMBER(Q29),Q29-$C$6&lt;=$C$9),"تأمين ينتهي قريبًا","OK"))))))</f>
        <v/>
      </c>
    </row>
    <row r="30">
      <c r="A30" s="27" t="n"/>
      <c r="B30" s="18" t="n"/>
      <c r="C30" s="18" t="n"/>
      <c r="D30" s="18" t="n"/>
      <c r="E30" s="28" t="n"/>
      <c r="F30" s="20" t="n"/>
      <c r="G30" s="20" t="n"/>
      <c r="H30" s="29">
        <f>IF(ISNUMBER(F30),IF(ISNUMBER(G30),G30,$C$6)-F30+1,"")</f>
        <v/>
      </c>
      <c r="I30" s="23" t="n"/>
      <c r="J30" s="30">
        <f>IF(AND(N(H30)&gt;0,N(I30)&gt;=0,I30&lt;&gt;""),MIN(1,I30/H30),"")</f>
        <v/>
      </c>
      <c r="K30" s="25">
        <f>IF(H30="","",H30*N(E30))</f>
        <v/>
      </c>
      <c r="L30" s="28" t="n"/>
      <c r="M30" s="25">
        <f>IF(L30="","",L30*$C$7)</f>
        <v/>
      </c>
      <c r="N30" s="28" t="n"/>
      <c r="O30" s="25">
        <f>IF(H30="","",N(K30)+N(M30)+H30*N(N30))</f>
        <v/>
      </c>
      <c r="P30" s="20" t="n"/>
      <c r="Q30" s="20" t="n"/>
      <c r="R30" s="18" t="n"/>
      <c r="S30" s="26">
        <f>IF(A30="","",IF(R30=INDEX($T$20:$T$23,4),"—",IF(AND(ISNUMBER(Q30),Q30&lt;$C$6),"التأمين منتهٍ",IF(AND(ISNUMBER(P30),P30&lt;$C$6),"الصيانة متأخرة",IF(AND(ISNUMBER(P30),P30-$C$6&lt;=$C$8),"صيانة قريبة",IF(AND(ISNUMBER(Q30),Q30-$C$6&lt;=$C$9),"تأمين ينتهي قريبًا","OK"))))))</f>
        <v/>
      </c>
    </row>
    <row r="31">
      <c r="A31" s="27" t="n"/>
      <c r="B31" s="18" t="n"/>
      <c r="C31" s="18" t="n"/>
      <c r="D31" s="18" t="n"/>
      <c r="E31" s="28" t="n"/>
      <c r="F31" s="20" t="n"/>
      <c r="G31" s="20" t="n"/>
      <c r="H31" s="29">
        <f>IF(ISNUMBER(F31),IF(ISNUMBER(G31),G31,$C$6)-F31+1,"")</f>
        <v/>
      </c>
      <c r="I31" s="23" t="n"/>
      <c r="J31" s="30">
        <f>IF(AND(N(H31)&gt;0,N(I31)&gt;=0,I31&lt;&gt;""),MIN(1,I31/H31),"")</f>
        <v/>
      </c>
      <c r="K31" s="25">
        <f>IF(H31="","",H31*N(E31))</f>
        <v/>
      </c>
      <c r="L31" s="28" t="n"/>
      <c r="M31" s="25">
        <f>IF(L31="","",L31*$C$7)</f>
        <v/>
      </c>
      <c r="N31" s="28" t="n"/>
      <c r="O31" s="25">
        <f>IF(H31="","",N(K31)+N(M31)+H31*N(N31))</f>
        <v/>
      </c>
      <c r="P31" s="20" t="n"/>
      <c r="Q31" s="20" t="n"/>
      <c r="R31" s="18" t="n"/>
      <c r="S31" s="26">
        <f>IF(A31="","",IF(R31=INDEX($T$20:$T$23,4),"—",IF(AND(ISNUMBER(Q31),Q31&lt;$C$6),"التأمين منتهٍ",IF(AND(ISNUMBER(P31),P31&lt;$C$6),"الصيانة متأخرة",IF(AND(ISNUMBER(P31),P31-$C$6&lt;=$C$8),"صيانة قريبة",IF(AND(ISNUMBER(Q31),Q31-$C$6&lt;=$C$9),"تأمين ينتهي قريبًا","OK"))))))</f>
        <v/>
      </c>
    </row>
    <row r="32">
      <c r="A32" s="27" t="n"/>
      <c r="B32" s="18" t="n"/>
      <c r="C32" s="18" t="n"/>
      <c r="D32" s="18" t="n"/>
      <c r="E32" s="28" t="n"/>
      <c r="F32" s="20" t="n"/>
      <c r="G32" s="20" t="n"/>
      <c r="H32" s="29">
        <f>IF(ISNUMBER(F32),IF(ISNUMBER(G32),G32,$C$6)-F32+1,"")</f>
        <v/>
      </c>
      <c r="I32" s="23" t="n"/>
      <c r="J32" s="30">
        <f>IF(AND(N(H32)&gt;0,N(I32)&gt;=0,I32&lt;&gt;""),MIN(1,I32/H32),"")</f>
        <v/>
      </c>
      <c r="K32" s="25">
        <f>IF(H32="","",H32*N(E32))</f>
        <v/>
      </c>
      <c r="L32" s="28" t="n"/>
      <c r="M32" s="25">
        <f>IF(L32="","",L32*$C$7)</f>
        <v/>
      </c>
      <c r="N32" s="28" t="n"/>
      <c r="O32" s="25">
        <f>IF(H32="","",N(K32)+N(M32)+H32*N(N32))</f>
        <v/>
      </c>
      <c r="P32" s="20" t="n"/>
      <c r="Q32" s="20" t="n"/>
      <c r="R32" s="18" t="n"/>
      <c r="S32" s="26">
        <f>IF(A32="","",IF(R32=INDEX($T$20:$T$23,4),"—",IF(AND(ISNUMBER(Q32),Q32&lt;$C$6),"التأمين منتهٍ",IF(AND(ISNUMBER(P32),P32&lt;$C$6),"الصيانة متأخرة",IF(AND(ISNUMBER(P32),P32-$C$6&lt;=$C$8),"صيانة قريبة",IF(AND(ISNUMBER(Q32),Q32-$C$6&lt;=$C$9),"تأمين ينتهي قريبًا","OK"))))))</f>
        <v/>
      </c>
    </row>
    <row r="33">
      <c r="A33" s="27" t="n"/>
      <c r="B33" s="18" t="n"/>
      <c r="C33" s="18" t="n"/>
      <c r="D33" s="18" t="n"/>
      <c r="E33" s="28" t="n"/>
      <c r="F33" s="20" t="n"/>
      <c r="G33" s="20" t="n"/>
      <c r="H33" s="29">
        <f>IF(ISNUMBER(F33),IF(ISNUMBER(G33),G33,$C$6)-F33+1,"")</f>
        <v/>
      </c>
      <c r="I33" s="23" t="n"/>
      <c r="J33" s="30">
        <f>IF(AND(N(H33)&gt;0,N(I33)&gt;=0,I33&lt;&gt;""),MIN(1,I33/H33),"")</f>
        <v/>
      </c>
      <c r="K33" s="25">
        <f>IF(H33="","",H33*N(E33))</f>
        <v/>
      </c>
      <c r="L33" s="28" t="n"/>
      <c r="M33" s="25">
        <f>IF(L33="","",L33*$C$7)</f>
        <v/>
      </c>
      <c r="N33" s="28" t="n"/>
      <c r="O33" s="25">
        <f>IF(H33="","",N(K33)+N(M33)+H33*N(N33))</f>
        <v/>
      </c>
      <c r="P33" s="20" t="n"/>
      <c r="Q33" s="20" t="n"/>
      <c r="R33" s="18" t="n"/>
      <c r="S33" s="26">
        <f>IF(A33="","",IF(R33=INDEX($T$20:$T$23,4),"—",IF(AND(ISNUMBER(Q33),Q33&lt;$C$6),"التأمين منتهٍ",IF(AND(ISNUMBER(P33),P33&lt;$C$6),"الصيانة متأخرة",IF(AND(ISNUMBER(P33),P33-$C$6&lt;=$C$8),"صيانة قريبة",IF(AND(ISNUMBER(Q33),Q33-$C$6&lt;=$C$9),"تأمين ينتهي قريبًا","OK"))))))</f>
        <v/>
      </c>
    </row>
    <row r="34">
      <c r="A34" s="27" t="n"/>
      <c r="B34" s="18" t="n"/>
      <c r="C34" s="18" t="n"/>
      <c r="D34" s="18" t="n"/>
      <c r="E34" s="28" t="n"/>
      <c r="F34" s="20" t="n"/>
      <c r="G34" s="20" t="n"/>
      <c r="H34" s="29">
        <f>IF(ISNUMBER(F34),IF(ISNUMBER(G34),G34,$C$6)-F34+1,"")</f>
        <v/>
      </c>
      <c r="I34" s="23" t="n"/>
      <c r="J34" s="30">
        <f>IF(AND(N(H34)&gt;0,N(I34)&gt;=0,I34&lt;&gt;""),MIN(1,I34/H34),"")</f>
        <v/>
      </c>
      <c r="K34" s="25">
        <f>IF(H34="","",H34*N(E34))</f>
        <v/>
      </c>
      <c r="L34" s="28" t="n"/>
      <c r="M34" s="25">
        <f>IF(L34="","",L34*$C$7)</f>
        <v/>
      </c>
      <c r="N34" s="28" t="n"/>
      <c r="O34" s="25">
        <f>IF(H34="","",N(K34)+N(M34)+H34*N(N34))</f>
        <v/>
      </c>
      <c r="P34" s="20" t="n"/>
      <c r="Q34" s="20" t="n"/>
      <c r="R34" s="18" t="n"/>
      <c r="S34" s="26">
        <f>IF(A34="","",IF(R34=INDEX($T$20:$T$23,4),"—",IF(AND(ISNUMBER(Q34),Q34&lt;$C$6),"التأمين منتهٍ",IF(AND(ISNUMBER(P34),P34&lt;$C$6),"الصيانة متأخرة",IF(AND(ISNUMBER(P34),P34-$C$6&lt;=$C$8),"صيانة قريبة",IF(AND(ISNUMBER(Q34),Q34-$C$6&lt;=$C$9),"تأمين ينتهي قريبًا","OK"))))))</f>
        <v/>
      </c>
    </row>
    <row r="35">
      <c r="A35" s="27" t="n"/>
      <c r="B35" s="18" t="n"/>
      <c r="C35" s="18" t="n"/>
      <c r="D35" s="18" t="n"/>
      <c r="E35" s="28" t="n"/>
      <c r="F35" s="20" t="n"/>
      <c r="G35" s="20" t="n"/>
      <c r="H35" s="29">
        <f>IF(ISNUMBER(F35),IF(ISNUMBER(G35),G35,$C$6)-F35+1,"")</f>
        <v/>
      </c>
      <c r="I35" s="23" t="n"/>
      <c r="J35" s="30">
        <f>IF(AND(N(H35)&gt;0,N(I35)&gt;=0,I35&lt;&gt;""),MIN(1,I35/H35),"")</f>
        <v/>
      </c>
      <c r="K35" s="25">
        <f>IF(H35="","",H35*N(E35))</f>
        <v/>
      </c>
      <c r="L35" s="28" t="n"/>
      <c r="M35" s="25">
        <f>IF(L35="","",L35*$C$7)</f>
        <v/>
      </c>
      <c r="N35" s="28" t="n"/>
      <c r="O35" s="25">
        <f>IF(H35="","",N(K35)+N(M35)+H35*N(N35))</f>
        <v/>
      </c>
      <c r="P35" s="20" t="n"/>
      <c r="Q35" s="20" t="n"/>
      <c r="R35" s="18" t="n"/>
      <c r="S35" s="26">
        <f>IF(A35="","",IF(R35=INDEX($T$20:$T$23,4),"—",IF(AND(ISNUMBER(Q35),Q35&lt;$C$6),"التأمين منتهٍ",IF(AND(ISNUMBER(P35),P35&lt;$C$6),"الصيانة متأخرة",IF(AND(ISNUMBER(P35),P35-$C$6&lt;=$C$8),"صيانة قريبة",IF(AND(ISNUMBER(Q35),Q35-$C$6&lt;=$C$9),"تأمين ينتهي قريبًا","OK"))))))</f>
        <v/>
      </c>
    </row>
    <row r="36">
      <c r="A36" s="27" t="n"/>
      <c r="B36" s="18" t="n"/>
      <c r="C36" s="18" t="n"/>
      <c r="D36" s="18" t="n"/>
      <c r="E36" s="28" t="n"/>
      <c r="F36" s="20" t="n"/>
      <c r="G36" s="20" t="n"/>
      <c r="H36" s="29">
        <f>IF(ISNUMBER(F36),IF(ISNUMBER(G36),G36,$C$6)-F36+1,"")</f>
        <v/>
      </c>
      <c r="I36" s="23" t="n"/>
      <c r="J36" s="30">
        <f>IF(AND(N(H36)&gt;0,N(I36)&gt;=0,I36&lt;&gt;""),MIN(1,I36/H36),"")</f>
        <v/>
      </c>
      <c r="K36" s="25">
        <f>IF(H36="","",H36*N(E36))</f>
        <v/>
      </c>
      <c r="L36" s="28" t="n"/>
      <c r="M36" s="25">
        <f>IF(L36="","",L36*$C$7)</f>
        <v/>
      </c>
      <c r="N36" s="28" t="n"/>
      <c r="O36" s="25">
        <f>IF(H36="","",N(K36)+N(M36)+H36*N(N36))</f>
        <v/>
      </c>
      <c r="P36" s="20" t="n"/>
      <c r="Q36" s="20" t="n"/>
      <c r="R36" s="18" t="n"/>
      <c r="S36" s="26">
        <f>IF(A36="","",IF(R36=INDEX($T$20:$T$23,4),"—",IF(AND(ISNUMBER(Q36),Q36&lt;$C$6),"التأمين منتهٍ",IF(AND(ISNUMBER(P36),P36&lt;$C$6),"الصيانة متأخرة",IF(AND(ISNUMBER(P36),P36-$C$6&lt;=$C$8),"صيانة قريبة",IF(AND(ISNUMBER(Q36),Q36-$C$6&lt;=$C$9),"تأمين ينتهي قريبًا","OK"))))))</f>
        <v/>
      </c>
    </row>
    <row r="37">
      <c r="A37" s="31" t="inlineStr">
        <is>
          <t>الإجمالي</t>
        </is>
      </c>
      <c r="H37" s="32">
        <f>SUM(H17:H36)</f>
        <v/>
      </c>
      <c r="I37" s="32">
        <f>SUM(I17:I36)</f>
        <v/>
      </c>
      <c r="K37" s="32">
        <f>SUM(K17:K36)</f>
        <v/>
      </c>
      <c r="L37" s="32">
        <f>SUM(L17:L36)</f>
        <v/>
      </c>
      <c r="M37" s="32">
        <f>SUM(M17:M36)</f>
        <v/>
      </c>
      <c r="O37" s="32">
        <f>SUM(O17:O36)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31">
    <mergeCell ref="E12:F12"/>
    <mergeCell ref="I11:J11"/>
    <mergeCell ref="E5:F5"/>
    <mergeCell ref="J4:L4"/>
    <mergeCell ref="M7:R7"/>
    <mergeCell ref="A6:B6"/>
    <mergeCell ref="E8:F8"/>
    <mergeCell ref="A1:T1"/>
    <mergeCell ref="E4:F4"/>
    <mergeCell ref="A7:B7"/>
    <mergeCell ref="A5:C5"/>
    <mergeCell ref="G5:I5"/>
    <mergeCell ref="E10:F10"/>
    <mergeCell ref="G4:I4"/>
    <mergeCell ref="M8:R8"/>
    <mergeCell ref="E9:F9"/>
    <mergeCell ref="P5:R5"/>
    <mergeCell ref="M4:O4"/>
    <mergeCell ref="E11:F11"/>
    <mergeCell ref="A2:T2"/>
    <mergeCell ref="I8:J8"/>
    <mergeCell ref="P4:R4"/>
    <mergeCell ref="A8:B8"/>
    <mergeCell ref="A37:G37"/>
    <mergeCell ref="J5:L5"/>
    <mergeCell ref="A15:R15"/>
    <mergeCell ref="E7:L7"/>
    <mergeCell ref="I10:J10"/>
    <mergeCell ref="M5:O5"/>
    <mergeCell ref="A9:B9"/>
    <mergeCell ref="I9:J9"/>
  </mergeCells>
  <conditionalFormatting sqref="S17:S36">
    <cfRule type="expression" priority="1" dxfId="0">
      <formula>OR($S17="التأمين منتهٍ",$S17="الصيانة متأخرة")</formula>
    </cfRule>
    <cfRule type="expression" priority="2" dxfId="1">
      <formula>OR($S17="صيانة قريبة",$S17="تأمين ينتهي قريبًا")</formula>
    </cfRule>
    <cfRule type="expression" priority="3" dxfId="2">
      <formula>$S17="OK"</formula>
    </cfRule>
  </conditionalFormatting>
  <conditionalFormatting sqref="A17:R36">
    <cfRule type="expression" priority="4" dxfId="3">
      <formula>$R17=INDEX($T$20:$T$23,4)</formula>
    </cfRule>
  </conditionalFormatting>
  <conditionalFormatting sqref="R17:R36">
    <cfRule type="expression" priority="5" dxfId="4">
      <formula>$R17=INDEX($T$20:$T$23,3)</formula>
    </cfRule>
  </conditionalFormatting>
  <conditionalFormatting sqref="J17:J36">
    <cfRule type="expression" priority="6" dxfId="5">
      <formula>AND(ISNUMBER($J17),$J17&lt;0.5)</formula>
    </cfRule>
  </conditionalFormatting>
  <conditionalFormatting sqref="G8:G12">
    <cfRule type="dataBar" priority="7">
      <dataBar showValue="1">
        <cfvo type="num" val="0"/>
        <cfvo type="max"/>
        <color rgb="0065A30D"/>
      </dataBar>
    </cfRule>
  </conditionalFormatting>
  <conditionalFormatting sqref="K8:K11">
    <cfRule type="dataBar" priority="8">
      <dataBar showValue="1">
        <cfvo type="num" val="0"/>
        <cfvo type="max"/>
        <color rgb="0065A30D"/>
      </dataBar>
    </cfRule>
  </conditionalFormatting>
  <dataValidations count="13">
    <dataValidation sqref="C6" showDropDown="0" showInputMessage="0" showErrorMessage="1" allowBlank="1" errorTitle="Sheetaky" error="أدخل تاريخًا صحيحًا" type="date" operator="greaterThan">
      <formula1>1</formula1>
    </dataValidation>
    <dataValidation sqref="C7" showDropDown="0" showInputMessage="0" showErrorMessage="1" allowBlank="1" errorTitle="Sheetaky" error="أدخل رقمًا بين 0 و 20" type="decimal" operator="between">
      <formula1>0</formula1>
      <formula2>20</formula2>
    </dataValidation>
    <dataValidation sqref="C8" showDropDown="0" showInputMessage="0" showErrorMessage="1" allowBlank="1" errorTitle="Sheetaky" error="أدخل رقمًا بين 0 و 120" type="decimal" operator="between">
      <formula1>0</formula1>
      <formula2>120</formula2>
    </dataValidation>
    <dataValidation sqref="C9" showDropDown="0" showInputMessage="0" showErrorMessage="1" allowBlank="1" errorTitle="Sheetaky" error="أدخل رقمًا بين 0 و 365" type="decimal" operator="between">
      <formula1>0</formula1>
      <formula2>365</formula2>
    </dataValidation>
    <dataValidation sqref="B17:B36" showDropDown="0" showInputMessage="0" showErrorMessage="1" allowBlank="1" errorTitle="Sheetaky" error="اختر قيمة من القائمة" type="list">
      <formula1>=$T$5:$T$13</formula1>
    </dataValidation>
    <dataValidation sqref="C17:C36" showDropDown="0" showInputMessage="0" showErrorMessage="1" allowBlank="1" errorTitle="Sheetaky" error="اختر قيمة من القائمة" type="list">
      <formula1>=$T$16:$T$17</formula1>
    </dataValidation>
    <dataValidation sqref="R17:R36" showDropDown="0" showInputMessage="0" showErrorMessage="1" allowBlank="1" errorTitle="Sheetaky" error="اختر قيمة من القائمة" type="list">
      <formula1>=$T$20:$T$23</formula1>
    </dataValidation>
    <dataValidation sqref="F17:G36" showDropDown="0" showInputMessage="0" showErrorMessage="1" allowBlank="1" errorTitle="Sheetaky" error="أدخل تاريخًا صحيحًا" type="date" operator="greaterThan">
      <formula1>1</formula1>
    </dataValidation>
    <dataValidation sqref="P17:Q36" showDropDown="0" showInputMessage="0" showErrorMessage="1" allowBlank="1" errorTitle="Sheetaky" error="أدخل تاريخًا صحيحًا" type="date" operator="greaterThan">
      <formula1>1</formula1>
    </dataValidation>
    <dataValidation sqref="E17:E36" showDropDown="0" showInputMessage="0" showErrorMessage="1" allowBlank="1" errorTitle="Sheetaky" error="أدخل رقمًا بين 0 و 1000000" type="decimal" operator="between">
      <formula1>0</formula1>
      <formula2>1000000</formula2>
    </dataValidation>
    <dataValidation sqref="I17:I36" showDropDown="0" showInputMessage="0" showErrorMessage="1" allowBlank="1" errorTitle="Sheetaky" error="أدخل رقمًا بين 0 و 3650" type="whole" operator="between">
      <formula1>0</formula1>
      <formula2>3650</formula2>
    </dataValidation>
    <dataValidation sqref="L17:L36" showDropDown="0" showInputMessage="0" showErrorMessage="1" allowBlank="1" errorTitle="Sheetaky" error="أدخل رقمًا بين 0 و 10000000" type="decimal" operator="between">
      <formula1>0</formula1>
      <formula2>10000000</formula2>
    </dataValidation>
    <dataValidation sqref="N17:N36" showDropDown="0" showInputMessage="0" showErrorMessage="1" allowBlank="1" errorTitle="Sheetaky" error="أدخل رقمًا بين 0 و 100000" type="decimal" operator="between">
      <formula1>0</formula1>
      <formula2>100000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65A30D"/>
    <outlinePr summaryBelow="1" summaryRight="1"/>
    <pageSetUpPr fitToPage="1"/>
  </sheetPr>
  <dimension ref="A1:B24"/>
  <sheetViews>
    <sheetView showGridLines="0" rightToLeft="1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1" t="inlineStr">
        <is>
          <t>دليل استخدام: سجل المعدات</t>
        </is>
      </c>
      <c r="B1" s="2" t="n"/>
    </row>
    <row r="2" ht="18" customHeight="1">
      <c r="A2" s="3" t="inlineStr">
        <is>
          <t>Sheetaky.com · شيتات إكسل جاهزة بالعربي والإنجليزي</t>
        </is>
      </c>
      <c r="B2" s="4" t="n"/>
    </row>
    <row r="4" ht="22" customHeight="1">
      <c r="A4" s="10" t="inlineStr">
        <is>
          <t>ما هذا الشيت؟</t>
        </is>
      </c>
      <c r="B4" s="11" t="n"/>
    </row>
    <row r="5" ht="30" customHeight="1">
      <c r="A5" s="33" t="inlineStr">
        <is>
          <t>يسجل المعدات الثقيلة المملوكة والمؤجرة ويحسب التكلفة والاستغلال وينبه لموعد الصيانة وانتهاء التأمين.</t>
        </is>
      </c>
    </row>
    <row r="7" ht="22" customHeight="1">
      <c r="A7" s="10" t="inlineStr">
        <is>
          <t>خطوات الاستخدام</t>
        </is>
      </c>
      <c r="B7" s="11" t="n"/>
    </row>
    <row r="8" ht="20" customHeight="1">
      <c r="A8" s="34" t="n">
        <v>1</v>
      </c>
      <c r="B8" s="33" t="inlineStr">
        <is>
          <t>اكتب تاريخ التقرير وسعر الديزل ومدد التنبيه.</t>
        </is>
      </c>
    </row>
    <row r="9" ht="20" customHeight="1">
      <c r="A9" s="34" t="n">
        <v>2</v>
      </c>
      <c r="B9" s="33" t="inlineStr">
        <is>
          <t>سجل كل معدة: النوع والملكية والمورد والإيجار اليومي وتاريخ البدء.</t>
        </is>
      </c>
    </row>
    <row r="10" ht="20" customHeight="1">
      <c r="A10" s="34" t="n">
        <v>3</v>
      </c>
      <c r="B10" s="33" t="inlineStr">
        <is>
          <t>حدّث أيام العمل الفعلية واللترات وتاريخ الصيانة والتأمين دوريًا.</t>
        </is>
      </c>
    </row>
    <row r="11" ht="20" customHeight="1">
      <c r="A11" s="34" t="n">
        <v>4</v>
      </c>
      <c r="B11" s="33" t="inlineStr">
        <is>
          <t>اقرأ التنبيهات والتكلفة والاستغلال.</t>
        </is>
      </c>
    </row>
    <row r="13" ht="22" customHeight="1">
      <c r="A13" s="10" t="inlineStr">
        <is>
          <t>دليل الألوان</t>
        </is>
      </c>
      <c r="B13" s="11" t="n"/>
    </row>
    <row r="14">
      <c r="A14" s="27" t="inlineStr"/>
      <c r="B14" s="33" t="inlineStr">
        <is>
          <t>خلية إدخال: اكتب أو اختر قيمتك هنا (خط أزرق على خلفية صفراء).</t>
        </is>
      </c>
    </row>
    <row r="15">
      <c r="A15" s="35" t="inlineStr"/>
      <c r="B15" s="33" t="inlineStr">
        <is>
          <t>خلية محسوبة: معادلة تلقائية، محمية من المسح بالخطأ.</t>
        </is>
      </c>
    </row>
    <row r="16">
      <c r="A16" s="36" t="inlineStr"/>
      <c r="B16" s="33" t="inlineStr">
        <is>
          <t>عناوين الجداول والأقسام.</t>
        </is>
      </c>
    </row>
    <row r="18" ht="22" customHeight="1">
      <c r="A18" s="10" t="inlineStr">
        <is>
          <t>ملاحظات مهمة</t>
        </is>
      </c>
      <c r="B18" s="11" t="n"/>
    </row>
    <row r="19" ht="20" customHeight="1">
      <c r="A19" s="37" t="inlineStr">
        <is>
          <t>•</t>
        </is>
      </c>
      <c r="B19" s="38" t="inlineStr">
        <is>
          <t>التكلفة للمملوك تُدخل كمعدل يومي تقديري.</t>
        </is>
      </c>
    </row>
    <row r="20" ht="20" customHeight="1">
      <c r="A20" s="37" t="inlineStr">
        <is>
          <t>•</t>
        </is>
      </c>
      <c r="B20" s="38" t="inlineStr">
        <is>
          <t>الاستغلال أقل من 50% يُظلَّل لمراجعة جدوى الاستئجار.</t>
        </is>
      </c>
    </row>
    <row r="21" ht="20" customHeight="1">
      <c r="A21" s="37" t="inlineStr">
        <is>
          <t>•</t>
        </is>
      </c>
      <c r="B21" s="38" t="inlineStr">
        <is>
          <t>اترك تاريخ النهاية فارغًا للمعدة العاملة.</t>
        </is>
      </c>
    </row>
    <row r="22" ht="20" customHeight="1">
      <c r="A22" s="37" t="inlineStr">
        <is>
          <t>•</t>
        </is>
      </c>
      <c r="B22" s="38" t="inlineStr">
        <is>
          <t>الأوراق محمية بدون كلمة مرور لحماية المعادلات. لإلغاء الحماية: مراجعة ← إلغاء حماية الورقة.</t>
        </is>
      </c>
    </row>
    <row r="23" ht="20" customHeight="1">
      <c r="A23" s="37" t="inlineStr">
        <is>
          <t>•</t>
        </is>
      </c>
      <c r="B23" s="38" t="inlineStr">
        <is>
          <t>البيانات الموجودة مثال توضيحي، امسحها واكتب بياناتك في الخلايا الصفراء فقط.</t>
        </is>
      </c>
    </row>
    <row r="24" ht="20" customHeight="1">
      <c r="A24" s="37" t="inlineStr">
        <is>
          <t>•</t>
        </is>
      </c>
      <c r="B24" s="38" t="inlineStr">
        <is>
          <t>المزيد من الشيتات المجانية بالعربي والإنجليزي على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EQP</dc:title>
  <dcterms:created xmlns:dcterms="http://purl.org/dc/terms/" xmlns:xsi="http://www.w3.org/2001/XMLSchema-instance" xsi:type="dcterms:W3CDTF">2026-10-23T13:03:43Z</dcterms:created>
  <dcterms:modified xmlns:dcterms="http://purl.org/dc/terms/" xmlns:xsi="http://www.w3.org/2001/XMLSchema-instance" xsi:type="dcterms:W3CDTF">2026-10-23T13:03:43Z</dcterms:modified>
</cp:coreProperties>
</file>