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lth Dashboard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/mm"/>
    <numFmt numFmtId="167" formatCode="+0.0;[Red]-0.0;0.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A9A9A"/>
      <sz val="9"/>
    </font>
    <font>
      <name val="Segoe UI"/>
      <b val="1"/>
      <color rgb="00000000"/>
      <sz val="10"/>
    </font>
    <font>
      <name val="Segoe UI"/>
      <color rgb="00F2F2F2"/>
      <sz val="10"/>
    </font>
    <font>
      <name val="Segoe UI"/>
      <b val="1"/>
      <color rgb="00F2F2F2"/>
      <sz val="10"/>
    </font>
    <font>
      <name val="Segoe UI"/>
      <color rgb="00A3E635"/>
      <sz val="10"/>
    </font>
    <font>
      <name val="Segoe UI"/>
      <b val="1"/>
      <color rgb="009A9A9A"/>
      <sz val="9"/>
    </font>
    <font>
      <name val="Segoe UI"/>
      <b val="1"/>
      <color rgb="00A3E635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00000"/>
      <sz val="11"/>
    </font>
    <font>
      <name val="Segoe UI"/>
      <b val="1"/>
      <color rgb="00FFFFFF"/>
      <sz val="10"/>
    </font>
    <font>
      <name val="Segoe UI"/>
      <b val="1"/>
      <color rgb="00A3E635"/>
      <sz val="10"/>
    </font>
  </fonts>
  <fills count="9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0A0A0A"/>
      </patternFill>
    </fill>
    <fill>
      <patternFill patternType="solid">
        <fgColor rgb="00A3E635"/>
      </patternFill>
    </fill>
    <fill>
      <patternFill patternType="solid">
        <fgColor rgb="001F1F1F"/>
      </patternFill>
    </fill>
    <fill>
      <patternFill patternType="solid">
        <fgColor rgb="00191919"/>
      </patternFill>
    </fill>
    <fill>
      <patternFill patternType="solid">
        <fgColor rgb="000D0D0D"/>
      </patternFill>
    </fill>
    <fill>
      <patternFill patternType="solid"/>
    </fill>
  </fills>
  <borders count="8">
    <border>
      <left/>
      <right/>
      <top/>
      <bottom/>
      <diagonal/>
    </border>
    <border>
      <left style="thin">
        <color rgb="002E2E2E"/>
      </left>
      <right style="thin">
        <color rgb="002E2E2E"/>
      </right>
      <top style="thin">
        <color rgb="002E2E2E"/>
      </top>
      <bottom style="thin">
        <color rgb="002E2E2E"/>
      </bottom>
    </border>
    <border>
      <top style="medium">
        <color rgb="00A3E635"/>
      </top>
    </border>
    <border/>
    <border>
      <left/>
      <right/>
      <top style="thin">
        <color rgb="002E2E2E"/>
      </top>
      <bottom/>
      <diagonal/>
    </border>
    <border>
      <left/>
      <right style="thin">
        <color rgb="002E2E2E"/>
      </right>
      <top style="thin">
        <color rgb="002E2E2E"/>
      </top>
      <bottom/>
      <diagonal/>
    </border>
    <border>
      <left/>
      <right/>
      <top style="thin">
        <color rgb="002E2E2E"/>
      </top>
      <bottom style="thin">
        <color rgb="002E2E2E"/>
      </bottom>
      <diagonal/>
    </border>
    <border>
      <left/>
      <right style="thin">
        <color rgb="002E2E2E"/>
      </right>
      <top style="thin">
        <color rgb="002E2E2E"/>
      </top>
      <bottom style="thin">
        <color rgb="002E2E2E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7" fillId="7" borderId="2" applyAlignment="1" pivotButton="0" quotePrefix="0" xfId="0">
      <alignment horizontal="center" vertical="center" wrapText="1" readingOrder="1"/>
    </xf>
    <xf numFmtId="0" fontId="0" fillId="7" borderId="2" pivotButton="0" quotePrefix="0" xfId="0"/>
    <xf numFmtId="0" fontId="3" fillId="4" borderId="1" applyAlignment="1" pivotButton="0" quotePrefix="0" xfId="0">
      <alignment horizontal="center" vertical="center" wrapText="1" readingOrder="1"/>
    </xf>
    <xf numFmtId="0" fontId="4" fillId="4" borderId="1" applyAlignment="1" pivotButton="0" quotePrefix="0" xfId="0">
      <alignment horizontal="center" vertical="center" wrapText="1" readingOrder="1"/>
    </xf>
    <xf numFmtId="165" fontId="8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167" fontId="8" fillId="6" borderId="3" applyAlignment="1" pivotButton="0" quotePrefix="0" xfId="0">
      <alignment horizontal="center" vertical="center" wrapText="1" readingOrder="1"/>
    </xf>
    <xf numFmtId="0" fontId="5" fillId="2" borderId="1" applyAlignment="1" pivotButton="0" quotePrefix="0" xfId="0">
      <alignment horizontal="center" vertical="center" wrapText="1" readingOrder="1"/>
    </xf>
    <xf numFmtId="164" fontId="6" fillId="5" borderId="1" applyAlignment="1" applyProtection="1" pivotButton="0" quotePrefix="0" xfId="0">
      <alignment horizontal="center" vertical="center" wrapText="1" readingOrder="1"/>
      <protection locked="0" hidden="0"/>
    </xf>
    <xf numFmtId="1" fontId="6" fillId="5" borderId="1" applyAlignment="1" applyProtection="1" pivotButton="0" quotePrefix="0" xfId="0">
      <alignment horizontal="center" vertical="center" wrapText="1" readingOrder="1"/>
      <protection locked="0" hidden="0"/>
    </xf>
    <xf numFmtId="165" fontId="6" fillId="5" borderId="1" applyAlignment="1" applyProtection="1" pivotButton="0" quotePrefix="0" xfId="0">
      <alignment horizontal="center" vertical="center" wrapText="1" readingOrder="1"/>
      <protection locked="0" hidden="0"/>
    </xf>
    <xf numFmtId="1" fontId="8" fillId="6" borderId="3" applyAlignment="1" pivotButton="0" quotePrefix="0" xfId="0">
      <alignment horizontal="center" vertical="center" wrapText="1" readingOrder="1"/>
    </xf>
    <xf numFmtId="3" fontId="8" fillId="6" borderId="3" applyAlignment="1" pivotButton="0" quotePrefix="0" xfId="0">
      <alignment horizontal="center" vertical="center" wrapText="1" readingOrder="1"/>
    </xf>
    <xf numFmtId="0" fontId="5" fillId="6" borderId="1" applyAlignment="1" pivotButton="0" quotePrefix="0" xfId="0">
      <alignment horizontal="center" vertical="center" wrapText="1" readingOrder="1"/>
    </xf>
    <xf numFmtId="3" fontId="6" fillId="5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6" pivotButton="0" quotePrefix="0" xfId="0"/>
    <xf numFmtId="0" fontId="0" fillId="0" borderId="7" pivotButton="0" quotePrefix="0" xfId="0"/>
    <xf numFmtId="166" fontId="4" fillId="6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center" vertical="center" wrapText="1" readingOrder="1"/>
    </xf>
    <xf numFmtId="1" fontId="5" fillId="6" borderId="1" applyAlignment="1" pivotButton="0" quotePrefix="0" xfId="0">
      <alignment horizontal="center" vertical="center" wrapText="1" readingOrder="1"/>
    </xf>
    <xf numFmtId="1" fontId="4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3" fontId="4" fillId="6" borderId="1" applyAlignment="1" pivotButton="0" quotePrefix="0" xfId="0">
      <alignment horizontal="center" vertical="center" wrapText="1" readingOrder="1"/>
    </xf>
    <xf numFmtId="0" fontId="9" fillId="3" borderId="0" applyAlignment="1" pivotButton="0" quotePrefix="0" xfId="0">
      <alignment horizontal="center" vertical="center" wrapText="1" readingOrder="1"/>
    </xf>
    <xf numFmtId="0" fontId="10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11" fillId="7" borderId="1" applyAlignment="1" pivotButton="0" quotePrefix="0" xfId="0">
      <alignment horizontal="left" vertical="center" wrapText="1" readingOrder="1"/>
    </xf>
    <xf numFmtId="0" fontId="0" fillId="7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12" fillId="3" borderId="1" applyAlignment="1" pivotButton="0" quotePrefix="0" xfId="0">
      <alignment horizontal="left" vertical="center" wrapText="1" readingOrder="1"/>
    </xf>
    <xf numFmtId="0" fontId="6" fillId="5" borderId="1" applyAlignment="1" applyProtection="1" pivotButton="0" quotePrefix="0" xfId="0">
      <alignment horizontal="left" vertical="center" wrapText="1" readingOrder="1"/>
      <protection locked="0" hidden="0"/>
    </xf>
    <xf numFmtId="0" fontId="4" fillId="6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13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Segoe UI"/>
        <b val="1"/>
        <color rgb="00D9F99D"/>
      </font>
      <fill>
        <patternFill patternType="solid">
          <fgColor rgb="003F6212"/>
        </patternFill>
      </fill>
    </dxf>
    <dxf>
      <font>
        <name val="Segoe UI"/>
        <color rgb="00FECACA"/>
      </font>
      <fill>
        <patternFill patternType="solid">
          <fgColor rgb="007F1D1D"/>
        </patternFill>
      </fill>
    </dxf>
    <dxf>
      <font>
        <name val="Segoe UI"/>
        <color rgb="00FCA5A5"/>
      </font>
      <fill>
        <patternFill patternType="solid">
          <fgColor rgb="003B1D1D"/>
        </patternFill>
      </fill>
    </dxf>
    <dxf>
      <font>
        <name val="Segoe UI"/>
        <color rgb="00BEF264"/>
      </font>
      <fill>
        <patternFill patternType="solid">
          <fgColor rgb="001F3A1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 trend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'Health Dashboard'!$A$15:$A$42</f>
            </numRef>
          </cat>
          <val>
            <numRef>
              <f>'Health Dashboard'!$C$15:$C$42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score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A0A0A"/>
            </a:solidFill>
            <a:ln xmlns:a="http://schemas.openxmlformats.org/drawingml/2006/main">
              <a:solidFill>
                <a:srgbClr val="0A0A0A"/>
              </a:solidFill>
              <a:prstDash val="solid"/>
            </a:ln>
          </spPr>
          <cat>
            <numRef>
              <f>'Health Dashboard'!$A$15:$A$42</f>
            </numRef>
          </cat>
          <val>
            <numRef>
              <f>'Health Dashboard'!$J$15:$J$42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51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51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R70"/>
  <sheetViews>
    <sheetView showGridLines="0" rightToLeft="0" zoomScale="10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2.5" customWidth="1" min="1" max="1"/>
    <col width="8" customWidth="1" min="2" max="2"/>
    <col width="9" customWidth="1" min="3" max="3"/>
    <col width="8" customWidth="1" min="4" max="4"/>
    <col width="8" customWidth="1" min="5" max="5"/>
    <col width="9" customWidth="1" min="6" max="6"/>
    <col width="9" customWidth="1" min="7" max="7"/>
    <col width="8" customWidth="1" min="8" max="8"/>
    <col width="9" customWidth="1" min="9" max="9"/>
    <col width="8" customWidth="1" min="10" max="10"/>
    <col width="8" customWidth="1" min="11" max="11"/>
    <col width="6" customWidth="1" min="12" max="12"/>
    <col width="3" customWidth="1" min="13" max="13"/>
    <col width="24" customWidth="1" min="14" max="14"/>
    <col width="13" customWidth="1" min="15" max="15"/>
    <col width="10" customWidth="1" min="16" max="16"/>
    <col width="10" customWidth="1" min="17" max="17"/>
    <col width="10" customWidth="1" min="18" max="18"/>
  </cols>
  <sheetData>
    <row r="1" ht="50" customHeight="1">
      <c r="A1" s="1" t="inlineStr">
        <is>
          <t>Daily Health Dashboard: Sleep, Water, Steps, Weight and Mood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Log your numbers in a minute; see your daily score, weight trend, how sleep relates to mood and your streak of good days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 ht="18" customHeight="1">
      <c r="A4" s="6" t="inlineStr">
        <is>
          <t>Current weight</t>
        </is>
      </c>
      <c r="B4" s="7" t="n"/>
      <c r="C4" s="7" t="n"/>
      <c r="D4" s="6" t="inlineStr">
        <is>
          <t>Change since start</t>
        </is>
      </c>
      <c r="E4" s="7" t="n"/>
      <c r="F4" s="7" t="n"/>
      <c r="G4" s="6" t="inlineStr">
        <is>
          <t>BMI</t>
        </is>
      </c>
      <c r="H4" s="7" t="n"/>
      <c r="I4" s="7" t="n"/>
      <c r="J4" s="6" t="inlineStr">
        <is>
          <t>To target (kg)</t>
        </is>
      </c>
      <c r="K4" s="7" t="n"/>
      <c r="L4" s="7" t="n"/>
      <c r="M4" s="5" t="n"/>
      <c r="N4" s="8" t="inlineStr">
        <is>
          <t>Settings and targets</t>
        </is>
      </c>
      <c r="O4" s="9" t="n"/>
      <c r="P4" s="5" t="n"/>
      <c r="Q4" s="5" t="n"/>
      <c r="R4" s="5" t="n"/>
    </row>
    <row r="5" ht="36" customHeight="1">
      <c r="A5" s="10">
        <f>IFERROR(LOOKUP(9.99E+307,C15:C49),0)</f>
        <v/>
      </c>
      <c r="B5" s="11" t="n"/>
      <c r="C5" s="11" t="n"/>
      <c r="D5" s="12">
        <f>IFERROR(LOOKUP(9.99E+307,C15:C49)-INDEX(C15:C49,1),0)</f>
        <v/>
      </c>
      <c r="E5" s="11" t="n"/>
      <c r="F5" s="11" t="n"/>
      <c r="G5" s="10">
        <f>IFERROR(LOOKUP(9.99E+307,C15:C49)/(($O$6/100)^2),0)</f>
        <v/>
      </c>
      <c r="H5" s="11" t="n"/>
      <c r="I5" s="11" t="n"/>
      <c r="J5" s="10">
        <f>IFERROR(MAX(0,LOOKUP(9.99E+307,C15:C49)-$O$7),0)</f>
        <v/>
      </c>
      <c r="K5" s="11" t="n"/>
      <c r="L5" s="11" t="n"/>
      <c r="M5" s="5" t="n"/>
      <c r="N5" s="13" t="inlineStr">
        <is>
          <t>First day</t>
        </is>
      </c>
      <c r="O5" s="14" t="n">
        <v>46291</v>
      </c>
      <c r="P5" s="5" t="n"/>
      <c r="Q5" s="5" t="n"/>
      <c r="R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13" t="inlineStr">
        <is>
          <t>Height (cm)</t>
        </is>
      </c>
      <c r="O6" s="15" t="n">
        <v>176</v>
      </c>
      <c r="P6" s="5" t="n"/>
      <c r="Q6" s="5" t="n"/>
      <c r="R6" s="5" t="n"/>
    </row>
    <row r="7" ht="18" customHeight="1">
      <c r="A7" s="6" t="inlineStr">
        <is>
          <t>Average score</t>
        </is>
      </c>
      <c r="B7" s="7" t="n"/>
      <c r="C7" s="7" t="n"/>
      <c r="D7" s="6" t="inlineStr">
        <is>
          <t>Best good-day streak</t>
        </is>
      </c>
      <c r="E7" s="7" t="n"/>
      <c r="F7" s="7" t="n"/>
      <c r="G7" s="6" t="inlineStr">
        <is>
          <t>Avg sleep (h)</t>
        </is>
      </c>
      <c r="H7" s="7" t="n"/>
      <c r="I7" s="7" t="n"/>
      <c r="J7" s="6" t="inlineStr">
        <is>
          <t>Avg steps</t>
        </is>
      </c>
      <c r="K7" s="7" t="n"/>
      <c r="L7" s="7" t="n"/>
      <c r="M7" s="5" t="n"/>
      <c r="N7" s="13" t="inlineStr">
        <is>
          <t>Target weight (kg)</t>
        </is>
      </c>
      <c r="O7" s="16" t="n">
        <v>78</v>
      </c>
      <c r="P7" s="5" t="n"/>
      <c r="Q7" s="5" t="n"/>
      <c r="R7" s="5" t="n"/>
    </row>
    <row r="8" ht="36" customHeight="1">
      <c r="A8" s="17">
        <f>IFERROR(AVERAGE(J15:J49),0)</f>
        <v/>
      </c>
      <c r="B8" s="11" t="n"/>
      <c r="C8" s="11" t="n"/>
      <c r="D8" s="17">
        <f>MAX(K15:K49)</f>
        <v/>
      </c>
      <c r="E8" s="11" t="n"/>
      <c r="F8" s="11" t="n"/>
      <c r="G8" s="10">
        <f>IFERROR(AVERAGE(D15:D49),0)</f>
        <v/>
      </c>
      <c r="H8" s="11" t="n"/>
      <c r="I8" s="11" t="n"/>
      <c r="J8" s="18">
        <f>IFERROR(AVERAGE(F15:F49),0)</f>
        <v/>
      </c>
      <c r="K8" s="11" t="n"/>
      <c r="L8" s="11" t="n"/>
      <c r="M8" s="5" t="n"/>
      <c r="N8" s="13" t="inlineStr">
        <is>
          <t>Sleep target (h)</t>
        </is>
      </c>
      <c r="O8" s="16" t="n">
        <v>7.5</v>
      </c>
      <c r="P8" s="5" t="n"/>
      <c r="Q8" s="5" t="n"/>
      <c r="R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13" t="inlineStr">
        <is>
          <t>Water target (glasses)</t>
        </is>
      </c>
      <c r="O9" s="15" t="n">
        <v>8</v>
      </c>
      <c r="P9" s="5" t="n"/>
      <c r="Q9" s="5" t="n"/>
      <c r="R9" s="5" t="n"/>
    </row>
    <row r="10">
      <c r="A10" s="19">
        <f>IFERROR("BMI class: "&amp;IF(G5&lt;18.5,"Underweight",IF(G5&lt;25,"Normal",IF(G5&lt;30,"Overweight","Obese")))&amp;" · Sleep-mood correlation: "&amp;TEXT(CORREL(D15:D49,H15:H49),"0.00"),"")</f>
        <v/>
      </c>
      <c r="M10" s="5" t="n"/>
      <c r="N10" s="13" t="inlineStr">
        <is>
          <t>Steps target</t>
        </is>
      </c>
      <c r="O10" s="20" t="n">
        <v>8000</v>
      </c>
      <c r="P10" s="5" t="n"/>
      <c r="Q10" s="5" t="n"/>
      <c r="R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13" t="inlineStr">
        <is>
          <t>Workout target (min)</t>
        </is>
      </c>
      <c r="O11" s="15" t="n">
        <v>30</v>
      </c>
      <c r="P11" s="5" t="n"/>
      <c r="Q11" s="5" t="n"/>
      <c r="R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13" t="inlineStr">
        <is>
          <t>Good-day score</t>
        </is>
      </c>
      <c r="O12" s="15" t="n">
        <v>80</v>
      </c>
      <c r="P12" s="5" t="n"/>
      <c r="Q12" s="5" t="n"/>
      <c r="R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8" t="inlineStr">
        <is>
          <t>Weekly summary</t>
        </is>
      </c>
      <c r="O13" s="21" t="n"/>
      <c r="P13" s="21" t="n"/>
      <c r="Q13" s="21" t="n"/>
      <c r="R13" s="22" t="n"/>
    </row>
    <row r="14" ht="30" customHeight="1">
      <c r="A14" s="8" t="inlineStr">
        <is>
          <t>Date</t>
        </is>
      </c>
      <c r="B14" s="8" t="inlineStr">
        <is>
          <t>Day</t>
        </is>
      </c>
      <c r="C14" s="8" t="inlineStr">
        <is>
          <t>Weight</t>
        </is>
      </c>
      <c r="D14" s="8" t="inlineStr">
        <is>
          <t>Sleep h</t>
        </is>
      </c>
      <c r="E14" s="8" t="inlineStr">
        <is>
          <t>Water</t>
        </is>
      </c>
      <c r="F14" s="8" t="inlineStr">
        <is>
          <t>Steps</t>
        </is>
      </c>
      <c r="G14" s="8" t="inlineStr">
        <is>
          <t>Workout</t>
        </is>
      </c>
      <c r="H14" s="8" t="inlineStr">
        <is>
          <t>Mood</t>
        </is>
      </c>
      <c r="I14" s="8" t="inlineStr">
        <is>
          <t>Kcal</t>
        </is>
      </c>
      <c r="J14" s="8" t="inlineStr">
        <is>
          <t>Score</t>
        </is>
      </c>
      <c r="K14" s="8" t="inlineStr">
        <is>
          <t>Streak</t>
        </is>
      </c>
      <c r="L14" s="8" t="inlineStr">
        <is>
          <t>Wk</t>
        </is>
      </c>
      <c r="M14" s="5" t="n"/>
      <c r="N14" s="8" t="inlineStr">
        <is>
          <t>Week</t>
        </is>
      </c>
      <c r="O14" s="8" t="inlineStr">
        <is>
          <t>Sleep</t>
        </is>
      </c>
      <c r="P14" s="8" t="inlineStr">
        <is>
          <t>Steps</t>
        </is>
      </c>
      <c r="Q14" s="8" t="inlineStr">
        <is>
          <t>Score</t>
        </is>
      </c>
      <c r="R14" s="8" t="inlineStr">
        <is>
          <t>Weight</t>
        </is>
      </c>
    </row>
    <row r="15">
      <c r="A15" s="23">
        <f>$O$5+0</f>
        <v/>
      </c>
      <c r="B15" s="24">
        <f>CHOOSE(WEEKDAY(A15,1),"Sun","Mon","Tue","Wed","Thu","Fri","Sat")</f>
        <v/>
      </c>
      <c r="C15" s="16" t="n">
        <v>84.3</v>
      </c>
      <c r="D15" s="16" t="n">
        <v>7</v>
      </c>
      <c r="E15" s="15" t="n">
        <v>9</v>
      </c>
      <c r="F15" s="20" t="n">
        <v>7946</v>
      </c>
      <c r="G15" s="15" t="n">
        <v>20</v>
      </c>
      <c r="H15" s="15" t="n">
        <v>3</v>
      </c>
      <c r="I15" s="20" t="n">
        <v>1809</v>
      </c>
      <c r="J15" s="25">
        <f>IF(COUNT(D15:G15)&lt;4,"",ROUND(100*(MIN(1,D15/$O$8)+MIN(1,E15/$O$9)+MIN(1,F15/$O$10)+MIN(1,G15/$O$11))/4,0))</f>
        <v/>
      </c>
      <c r="K15" s="26">
        <f>IF(J15="",0,IF(J15&gt;=$O$12,N(K14)+1,0))</f>
        <v/>
      </c>
      <c r="L15" s="26">
        <f>INT((A15-$O$5)/7)+1</f>
        <v/>
      </c>
      <c r="M15" s="5" t="n"/>
      <c r="N15" s="13" t="n">
        <v>1</v>
      </c>
      <c r="O15" s="27">
        <f>IFERROR(AVERAGEIFS($D$15:$D$49,$L$15:$L$49,$N15),"")</f>
        <v/>
      </c>
      <c r="P15" s="28">
        <f>IFERROR(AVERAGEIFS($F$15:$F$49,$L$15:$L$49,$N15),"")</f>
        <v/>
      </c>
      <c r="Q15" s="26">
        <f>IFERROR(AVERAGEIFS($J$15:$J$49,$L$15:$L$49,$N15),"")</f>
        <v/>
      </c>
      <c r="R15" s="27">
        <f>IFERROR(AVERAGEIFS($C$15:$C$49,$L$15:$L$49,$N15),"")</f>
        <v/>
      </c>
    </row>
    <row r="16">
      <c r="A16" s="23">
        <f>$O$5+1</f>
        <v/>
      </c>
      <c r="B16" s="24">
        <f>CHOOSE(WEEKDAY(A16,1),"Sun","Mon","Tue","Wed","Thu","Fri","Sat")</f>
        <v/>
      </c>
      <c r="C16" s="16" t="n">
        <v>84.40000000000001</v>
      </c>
      <c r="D16" s="16" t="n">
        <v>7.5</v>
      </c>
      <c r="E16" s="15" t="n">
        <v>5</v>
      </c>
      <c r="F16" s="20" t="n">
        <v>6750</v>
      </c>
      <c r="G16" s="15" t="n">
        <v>20</v>
      </c>
      <c r="H16" s="15" t="n">
        <v>4</v>
      </c>
      <c r="I16" s="20" t="n">
        <v>2263</v>
      </c>
      <c r="J16" s="25">
        <f>IF(COUNT(D16:G16)&lt;4,"",ROUND(100*(MIN(1,D16/$O$8)+MIN(1,E16/$O$9)+MIN(1,F16/$O$10)+MIN(1,G16/$O$11))/4,0))</f>
        <v/>
      </c>
      <c r="K16" s="26">
        <f>IF(J16="",0,IF(J16&gt;=$O$12,N(K15)+1,0))</f>
        <v/>
      </c>
      <c r="L16" s="26">
        <f>INT((A16-$O$5)/7)+1</f>
        <v/>
      </c>
      <c r="M16" s="5" t="n"/>
      <c r="N16" s="13" t="n">
        <v>2</v>
      </c>
      <c r="O16" s="27">
        <f>IFERROR(AVERAGEIFS($D$15:$D$49,$L$15:$L$49,$N16),"")</f>
        <v/>
      </c>
      <c r="P16" s="28">
        <f>IFERROR(AVERAGEIFS($F$15:$F$49,$L$15:$L$49,$N16),"")</f>
        <v/>
      </c>
      <c r="Q16" s="26">
        <f>IFERROR(AVERAGEIFS($J$15:$J$49,$L$15:$L$49,$N16),"")</f>
        <v/>
      </c>
      <c r="R16" s="27">
        <f>IFERROR(AVERAGEIFS($C$15:$C$49,$L$15:$L$49,$N16),"")</f>
        <v/>
      </c>
    </row>
    <row r="17">
      <c r="A17" s="23">
        <f>$O$5+2</f>
        <v/>
      </c>
      <c r="B17" s="24">
        <f>CHOOSE(WEEKDAY(A17,1),"Sun","Mon","Tue","Wed","Thu","Fri","Sat")</f>
        <v/>
      </c>
      <c r="C17" s="16" t="n">
        <v>84.40000000000001</v>
      </c>
      <c r="D17" s="16" t="n">
        <v>5.9</v>
      </c>
      <c r="E17" s="15" t="n">
        <v>5</v>
      </c>
      <c r="F17" s="20" t="n">
        <v>10245</v>
      </c>
      <c r="G17" s="15" t="n">
        <v>20</v>
      </c>
      <c r="H17" s="15" t="n">
        <v>3</v>
      </c>
      <c r="I17" s="20" t="n">
        <v>2232</v>
      </c>
      <c r="J17" s="25">
        <f>IF(COUNT(D17:G17)&lt;4,"",ROUND(100*(MIN(1,D17/$O$8)+MIN(1,E17/$O$9)+MIN(1,F17/$O$10)+MIN(1,G17/$O$11))/4,0))</f>
        <v/>
      </c>
      <c r="K17" s="26">
        <f>IF(J17="",0,IF(J17&gt;=$O$12,N(K16)+1,0))</f>
        <v/>
      </c>
      <c r="L17" s="26">
        <f>INT((A17-$O$5)/7)+1</f>
        <v/>
      </c>
      <c r="M17" s="5" t="n"/>
      <c r="N17" s="13" t="n">
        <v>3</v>
      </c>
      <c r="O17" s="27">
        <f>IFERROR(AVERAGEIFS($D$15:$D$49,$L$15:$L$49,$N17),"")</f>
        <v/>
      </c>
      <c r="P17" s="28">
        <f>IFERROR(AVERAGEIFS($F$15:$F$49,$L$15:$L$49,$N17),"")</f>
        <v/>
      </c>
      <c r="Q17" s="26">
        <f>IFERROR(AVERAGEIFS($J$15:$J$49,$L$15:$L$49,$N17),"")</f>
        <v/>
      </c>
      <c r="R17" s="27">
        <f>IFERROR(AVERAGEIFS($C$15:$C$49,$L$15:$L$49,$N17),"")</f>
        <v/>
      </c>
    </row>
    <row r="18">
      <c r="A18" s="23">
        <f>$O$5+3</f>
        <v/>
      </c>
      <c r="B18" s="24">
        <f>CHOOSE(WEEKDAY(A18,1),"Sun","Mon","Tue","Wed","Thu","Fri","Sat")</f>
        <v/>
      </c>
      <c r="C18" s="16" t="n">
        <v>84.3</v>
      </c>
      <c r="D18" s="16" t="n">
        <v>7.7</v>
      </c>
      <c r="E18" s="15" t="n">
        <v>3</v>
      </c>
      <c r="F18" s="20" t="n">
        <v>10387</v>
      </c>
      <c r="G18" s="15" t="n">
        <v>20</v>
      </c>
      <c r="H18" s="15" t="n">
        <v>4</v>
      </c>
      <c r="I18" s="20" t="n">
        <v>2010</v>
      </c>
      <c r="J18" s="25">
        <f>IF(COUNT(D18:G18)&lt;4,"",ROUND(100*(MIN(1,D18/$O$8)+MIN(1,E18/$O$9)+MIN(1,F18/$O$10)+MIN(1,G18/$O$11))/4,0))</f>
        <v/>
      </c>
      <c r="K18" s="26">
        <f>IF(J18="",0,IF(J18&gt;=$O$12,N(K17)+1,0))</f>
        <v/>
      </c>
      <c r="L18" s="26">
        <f>INT((A18-$O$5)/7)+1</f>
        <v/>
      </c>
      <c r="M18" s="5" t="n"/>
      <c r="N18" s="13" t="n">
        <v>4</v>
      </c>
      <c r="O18" s="27">
        <f>IFERROR(AVERAGEIFS($D$15:$D$49,$L$15:$L$49,$N18),"")</f>
        <v/>
      </c>
      <c r="P18" s="28">
        <f>IFERROR(AVERAGEIFS($F$15:$F$49,$L$15:$L$49,$N18),"")</f>
        <v/>
      </c>
      <c r="Q18" s="26">
        <f>IFERROR(AVERAGEIFS($J$15:$J$49,$L$15:$L$49,$N18),"")</f>
        <v/>
      </c>
      <c r="R18" s="27">
        <f>IFERROR(AVERAGEIFS($C$15:$C$49,$L$15:$L$49,$N18),"")</f>
        <v/>
      </c>
    </row>
    <row r="19">
      <c r="A19" s="23">
        <f>$O$5+4</f>
        <v/>
      </c>
      <c r="B19" s="24">
        <f>CHOOSE(WEEKDAY(A19,1),"Sun","Mon","Tue","Wed","Thu","Fri","Sat")</f>
        <v/>
      </c>
      <c r="C19" s="16" t="n">
        <v>83.8</v>
      </c>
      <c r="D19" s="16" t="n">
        <v>6.8</v>
      </c>
      <c r="E19" s="15" t="n">
        <v>8</v>
      </c>
      <c r="F19" s="20" t="n">
        <v>10132</v>
      </c>
      <c r="G19" s="15" t="n">
        <v>45</v>
      </c>
      <c r="H19" s="15" t="n">
        <v>3</v>
      </c>
      <c r="I19" s="20" t="n">
        <v>2225</v>
      </c>
      <c r="J19" s="25">
        <f>IF(COUNT(D19:G19)&lt;4,"",ROUND(100*(MIN(1,D19/$O$8)+MIN(1,E19/$O$9)+MIN(1,F19/$O$10)+MIN(1,G19/$O$11))/4,0))</f>
        <v/>
      </c>
      <c r="K19" s="26">
        <f>IF(J19="",0,IF(J19&gt;=$O$12,N(K18)+1,0))</f>
        <v/>
      </c>
      <c r="L19" s="26">
        <f>INT((A19-$O$5)/7)+1</f>
        <v/>
      </c>
      <c r="M19" s="5" t="n"/>
      <c r="N19" s="13" t="n">
        <v>5</v>
      </c>
      <c r="O19" s="27">
        <f>IFERROR(AVERAGEIFS($D$15:$D$49,$L$15:$L$49,$N19),"")</f>
        <v/>
      </c>
      <c r="P19" s="28">
        <f>IFERROR(AVERAGEIFS($F$15:$F$49,$L$15:$L$49,$N19),"")</f>
        <v/>
      </c>
      <c r="Q19" s="26">
        <f>IFERROR(AVERAGEIFS($J$15:$J$49,$L$15:$L$49,$N19),"")</f>
        <v/>
      </c>
      <c r="R19" s="27">
        <f>IFERROR(AVERAGEIFS($C$15:$C$49,$L$15:$L$49,$N19),"")</f>
        <v/>
      </c>
    </row>
    <row r="20">
      <c r="A20" s="23">
        <f>$O$5+5</f>
        <v/>
      </c>
      <c r="B20" s="24">
        <f>CHOOSE(WEEKDAY(A20,1),"Sun","Mon","Tue","Wed","Thu","Fri","Sat")</f>
        <v/>
      </c>
      <c r="C20" s="16" t="n">
        <v>83.7</v>
      </c>
      <c r="D20" s="16" t="n">
        <v>7.8</v>
      </c>
      <c r="E20" s="15" t="n">
        <v>7</v>
      </c>
      <c r="F20" s="20" t="n">
        <v>9403</v>
      </c>
      <c r="G20" s="15" t="n">
        <v>0</v>
      </c>
      <c r="H20" s="15" t="n">
        <v>4</v>
      </c>
      <c r="I20" s="20" t="n">
        <v>2122</v>
      </c>
      <c r="J20" s="25">
        <f>IF(COUNT(D20:G20)&lt;4,"",ROUND(100*(MIN(1,D20/$O$8)+MIN(1,E20/$O$9)+MIN(1,F20/$O$10)+MIN(1,G20/$O$11))/4,0))</f>
        <v/>
      </c>
      <c r="K20" s="26">
        <f>IF(J20="",0,IF(J20&gt;=$O$12,N(K19)+1,0))</f>
        <v/>
      </c>
      <c r="L20" s="26">
        <f>INT((A20-$O$5)/7)+1</f>
        <v/>
      </c>
      <c r="M20" s="5" t="n"/>
      <c r="N20" s="5" t="n"/>
      <c r="O20" s="5" t="n"/>
      <c r="P20" s="5" t="n"/>
      <c r="Q20" s="5" t="n"/>
      <c r="R20" s="5" t="n"/>
    </row>
    <row r="21">
      <c r="A21" s="23">
        <f>$O$5+6</f>
        <v/>
      </c>
      <c r="B21" s="24">
        <f>CHOOSE(WEEKDAY(A21,1),"Sun","Mon","Tue","Wed","Thu","Fri","Sat")</f>
        <v/>
      </c>
      <c r="C21" s="16" t="n">
        <v>84.2</v>
      </c>
      <c r="D21" s="16" t="n">
        <v>7.7</v>
      </c>
      <c r="E21" s="15" t="n">
        <v>5</v>
      </c>
      <c r="F21" s="20" t="n">
        <v>7029</v>
      </c>
      <c r="G21" s="15" t="n">
        <v>0</v>
      </c>
      <c r="H21" s="15" t="n">
        <v>4</v>
      </c>
      <c r="I21" s="20" t="n">
        <v>2127</v>
      </c>
      <c r="J21" s="25">
        <f>IF(COUNT(D21:G21)&lt;4,"",ROUND(100*(MIN(1,D21/$O$8)+MIN(1,E21/$O$9)+MIN(1,F21/$O$10)+MIN(1,G21/$O$11))/4,0))</f>
        <v/>
      </c>
      <c r="K21" s="26">
        <f>IF(J21="",0,IF(J21&gt;=$O$12,N(K20)+1,0))</f>
        <v/>
      </c>
      <c r="L21" s="26">
        <f>INT((A21-$O$5)/7)+1</f>
        <v/>
      </c>
      <c r="M21" s="5" t="n"/>
      <c r="N21" s="5" t="n"/>
      <c r="O21" s="5" t="n"/>
      <c r="P21" s="5" t="n"/>
      <c r="Q21" s="5" t="n"/>
      <c r="R21" s="5" t="n"/>
    </row>
    <row r="22">
      <c r="A22" s="23">
        <f>$O$5+7</f>
        <v/>
      </c>
      <c r="B22" s="24">
        <f>CHOOSE(WEEKDAY(A22,1),"Sun","Mon","Tue","Wed","Thu","Fri","Sat")</f>
        <v/>
      </c>
      <c r="C22" s="16" t="n">
        <v>84.09999999999999</v>
      </c>
      <c r="D22" s="16" t="n">
        <v>6.1</v>
      </c>
      <c r="E22" s="15" t="n">
        <v>8</v>
      </c>
      <c r="F22" s="20" t="n">
        <v>7113</v>
      </c>
      <c r="G22" s="15" t="n">
        <v>0</v>
      </c>
      <c r="H22" s="15" t="n">
        <v>2</v>
      </c>
      <c r="I22" s="20" t="n">
        <v>2367</v>
      </c>
      <c r="J22" s="25">
        <f>IF(COUNT(D22:G22)&lt;4,"",ROUND(100*(MIN(1,D22/$O$8)+MIN(1,E22/$O$9)+MIN(1,F22/$O$10)+MIN(1,G22/$O$11))/4,0))</f>
        <v/>
      </c>
      <c r="K22" s="26">
        <f>IF(J22="",0,IF(J22&gt;=$O$12,N(K21)+1,0))</f>
        <v/>
      </c>
      <c r="L22" s="26">
        <f>INT((A22-$O$5)/7)+1</f>
        <v/>
      </c>
      <c r="M22" s="5" t="n"/>
      <c r="N22" s="5" t="n"/>
      <c r="O22" s="5" t="n"/>
      <c r="P22" s="5" t="n"/>
      <c r="Q22" s="5" t="n"/>
      <c r="R22" s="5" t="n"/>
    </row>
    <row r="23">
      <c r="A23" s="23">
        <f>$O$5+8</f>
        <v/>
      </c>
      <c r="B23" s="24">
        <f>CHOOSE(WEEKDAY(A23,1),"Sun","Mon","Tue","Wed","Thu","Fri","Sat")</f>
        <v/>
      </c>
      <c r="C23" s="16" t="n">
        <v>84.09999999999999</v>
      </c>
      <c r="D23" s="16" t="n">
        <v>7</v>
      </c>
      <c r="E23" s="15" t="n">
        <v>8</v>
      </c>
      <c r="F23" s="20" t="n">
        <v>9280</v>
      </c>
      <c r="G23" s="15" t="n">
        <v>60</v>
      </c>
      <c r="H23" s="15" t="n">
        <v>4</v>
      </c>
      <c r="I23" s="20" t="n">
        <v>2120</v>
      </c>
      <c r="J23" s="25">
        <f>IF(COUNT(D23:G23)&lt;4,"",ROUND(100*(MIN(1,D23/$O$8)+MIN(1,E23/$O$9)+MIN(1,F23/$O$10)+MIN(1,G23/$O$11))/4,0))</f>
        <v/>
      </c>
      <c r="K23" s="26">
        <f>IF(J23="",0,IF(J23&gt;=$O$12,N(K22)+1,0))</f>
        <v/>
      </c>
      <c r="L23" s="26">
        <f>INT((A23-$O$5)/7)+1</f>
        <v/>
      </c>
      <c r="M23" s="5" t="n"/>
      <c r="N23" s="5" t="n"/>
      <c r="O23" s="5" t="n"/>
      <c r="P23" s="5" t="n"/>
      <c r="Q23" s="5" t="n"/>
      <c r="R23" s="5" t="n"/>
    </row>
    <row r="24">
      <c r="A24" s="23">
        <f>$O$5+9</f>
        <v/>
      </c>
      <c r="B24" s="24">
        <f>CHOOSE(WEEKDAY(A24,1),"Sun","Mon","Tue","Wed","Thu","Fri","Sat")</f>
        <v/>
      </c>
      <c r="C24" s="16" t="n">
        <v>83.40000000000001</v>
      </c>
      <c r="D24" s="16" t="n">
        <v>6.9</v>
      </c>
      <c r="E24" s="15" t="n">
        <v>5</v>
      </c>
      <c r="F24" s="20" t="n">
        <v>5830</v>
      </c>
      <c r="G24" s="15" t="n">
        <v>60</v>
      </c>
      <c r="H24" s="15" t="n">
        <v>2</v>
      </c>
      <c r="I24" s="20" t="n">
        <v>1922</v>
      </c>
      <c r="J24" s="25">
        <f>IF(COUNT(D24:G24)&lt;4,"",ROUND(100*(MIN(1,D24/$O$8)+MIN(1,E24/$O$9)+MIN(1,F24/$O$10)+MIN(1,G24/$O$11))/4,0))</f>
        <v/>
      </c>
      <c r="K24" s="26">
        <f>IF(J24="",0,IF(J24&gt;=$O$12,N(K23)+1,0))</f>
        <v/>
      </c>
      <c r="L24" s="26">
        <f>INT((A24-$O$5)/7)+1</f>
        <v/>
      </c>
      <c r="M24" s="5" t="n"/>
      <c r="N24" s="5" t="n"/>
      <c r="O24" s="5" t="n"/>
      <c r="P24" s="5" t="n"/>
      <c r="Q24" s="5" t="n"/>
      <c r="R24" s="5" t="n"/>
    </row>
    <row r="25">
      <c r="A25" s="23">
        <f>$O$5+10</f>
        <v/>
      </c>
      <c r="B25" s="24">
        <f>CHOOSE(WEEKDAY(A25,1),"Sun","Mon","Tue","Wed","Thu","Fri","Sat")</f>
        <v/>
      </c>
      <c r="C25" s="16" t="n">
        <v>83.90000000000001</v>
      </c>
      <c r="D25" s="16" t="n">
        <v>6.5</v>
      </c>
      <c r="E25" s="15" t="n">
        <v>6</v>
      </c>
      <c r="F25" s="20" t="n">
        <v>5823</v>
      </c>
      <c r="G25" s="15" t="n">
        <v>60</v>
      </c>
      <c r="H25" s="15" t="n">
        <v>2</v>
      </c>
      <c r="I25" s="20" t="n">
        <v>2321</v>
      </c>
      <c r="J25" s="25">
        <f>IF(COUNT(D25:G25)&lt;4,"",ROUND(100*(MIN(1,D25/$O$8)+MIN(1,E25/$O$9)+MIN(1,F25/$O$10)+MIN(1,G25/$O$11))/4,0))</f>
        <v/>
      </c>
      <c r="K25" s="26">
        <f>IF(J25="",0,IF(J25&gt;=$O$12,N(K24)+1,0))</f>
        <v/>
      </c>
      <c r="L25" s="26">
        <f>INT((A25-$O$5)/7)+1</f>
        <v/>
      </c>
      <c r="M25" s="5" t="n"/>
      <c r="N25" s="5" t="n"/>
      <c r="O25" s="5" t="n"/>
      <c r="P25" s="5" t="n"/>
      <c r="Q25" s="5" t="n"/>
      <c r="R25" s="5" t="n"/>
    </row>
    <row r="26">
      <c r="A26" s="23">
        <f>$O$5+11</f>
        <v/>
      </c>
      <c r="B26" s="24">
        <f>CHOOSE(WEEKDAY(A26,1),"Sun","Mon","Tue","Wed","Thu","Fri","Sat")</f>
        <v/>
      </c>
      <c r="C26" s="16" t="n">
        <v>83.90000000000001</v>
      </c>
      <c r="D26" s="16" t="n">
        <v>6.3</v>
      </c>
      <c r="E26" s="15" t="n">
        <v>7</v>
      </c>
      <c r="F26" s="20" t="n">
        <v>5296</v>
      </c>
      <c r="G26" s="15" t="n">
        <v>0</v>
      </c>
      <c r="H26" s="15" t="n">
        <v>3</v>
      </c>
      <c r="I26" s="20" t="n">
        <v>2178</v>
      </c>
      <c r="J26" s="25">
        <f>IF(COUNT(D26:G26)&lt;4,"",ROUND(100*(MIN(1,D26/$O$8)+MIN(1,E26/$O$9)+MIN(1,F26/$O$10)+MIN(1,G26/$O$11))/4,0))</f>
        <v/>
      </c>
      <c r="K26" s="26">
        <f>IF(J26="",0,IF(J26&gt;=$O$12,N(K25)+1,0))</f>
        <v/>
      </c>
      <c r="L26" s="26">
        <f>INT((A26-$O$5)/7)+1</f>
        <v/>
      </c>
      <c r="M26" s="5" t="n"/>
      <c r="N26" s="5" t="n"/>
      <c r="O26" s="5" t="n"/>
      <c r="P26" s="5" t="n"/>
      <c r="Q26" s="5" t="n"/>
      <c r="R26" s="5" t="n"/>
    </row>
    <row r="27">
      <c r="A27" s="23">
        <f>$O$5+12</f>
        <v/>
      </c>
      <c r="B27" s="24">
        <f>CHOOSE(WEEKDAY(A27,1),"Sun","Mon","Tue","Wed","Thu","Fri","Sat")</f>
        <v/>
      </c>
      <c r="C27" s="16" t="n">
        <v>83.5</v>
      </c>
      <c r="D27" s="16" t="n">
        <v>8.199999999999999</v>
      </c>
      <c r="E27" s="15" t="n">
        <v>4</v>
      </c>
      <c r="F27" s="20" t="n">
        <v>10116</v>
      </c>
      <c r="G27" s="15" t="n">
        <v>30</v>
      </c>
      <c r="H27" s="15" t="n">
        <v>4</v>
      </c>
      <c r="I27" s="20" t="n">
        <v>1976</v>
      </c>
      <c r="J27" s="25">
        <f>IF(COUNT(D27:G27)&lt;4,"",ROUND(100*(MIN(1,D27/$O$8)+MIN(1,E27/$O$9)+MIN(1,F27/$O$10)+MIN(1,G27/$O$11))/4,0))</f>
        <v/>
      </c>
      <c r="K27" s="26">
        <f>IF(J27="",0,IF(J27&gt;=$O$12,N(K26)+1,0))</f>
        <v/>
      </c>
      <c r="L27" s="26">
        <f>INT((A27-$O$5)/7)+1</f>
        <v/>
      </c>
      <c r="M27" s="5" t="n"/>
      <c r="N27" s="5" t="n"/>
      <c r="O27" s="5" t="n"/>
      <c r="P27" s="5" t="n"/>
      <c r="Q27" s="5" t="n"/>
      <c r="R27" s="5" t="n"/>
    </row>
    <row r="28">
      <c r="A28" s="23">
        <f>$O$5+13</f>
        <v/>
      </c>
      <c r="B28" s="24">
        <f>CHOOSE(WEEKDAY(A28,1),"Sun","Mon","Tue","Wed","Thu","Fri","Sat")</f>
        <v/>
      </c>
      <c r="C28" s="16" t="n">
        <v>83.40000000000001</v>
      </c>
      <c r="D28" s="16" t="n">
        <v>6.8</v>
      </c>
      <c r="E28" s="15" t="n">
        <v>6</v>
      </c>
      <c r="F28" s="20" t="n">
        <v>10686</v>
      </c>
      <c r="G28" s="15" t="n">
        <v>0</v>
      </c>
      <c r="H28" s="15" t="n">
        <v>3</v>
      </c>
      <c r="I28" s="20" t="n">
        <v>2086</v>
      </c>
      <c r="J28" s="25">
        <f>IF(COUNT(D28:G28)&lt;4,"",ROUND(100*(MIN(1,D28/$O$8)+MIN(1,E28/$O$9)+MIN(1,F28/$O$10)+MIN(1,G28/$O$11))/4,0))</f>
        <v/>
      </c>
      <c r="K28" s="26">
        <f>IF(J28="",0,IF(J28&gt;=$O$12,N(K27)+1,0))</f>
        <v/>
      </c>
      <c r="L28" s="26">
        <f>INT((A28-$O$5)/7)+1</f>
        <v/>
      </c>
      <c r="M28" s="5" t="n"/>
      <c r="N28" s="5" t="n"/>
      <c r="O28" s="5" t="n"/>
      <c r="P28" s="5" t="n"/>
      <c r="Q28" s="5" t="n"/>
      <c r="R28" s="5" t="n"/>
    </row>
    <row r="29">
      <c r="A29" s="23">
        <f>$O$5+14</f>
        <v/>
      </c>
      <c r="B29" s="24">
        <f>CHOOSE(WEEKDAY(A29,1),"Sun","Mon","Tue","Wed","Thu","Fri","Sat")</f>
        <v/>
      </c>
      <c r="C29" s="16" t="n">
        <v>83</v>
      </c>
      <c r="D29" s="16" t="n">
        <v>6.5</v>
      </c>
      <c r="E29" s="15" t="n">
        <v>5</v>
      </c>
      <c r="F29" s="20" t="n">
        <v>9659</v>
      </c>
      <c r="G29" s="15" t="n">
        <v>45</v>
      </c>
      <c r="H29" s="15" t="n">
        <v>2</v>
      </c>
      <c r="I29" s="20" t="n">
        <v>2099</v>
      </c>
      <c r="J29" s="25">
        <f>IF(COUNT(D29:G29)&lt;4,"",ROUND(100*(MIN(1,D29/$O$8)+MIN(1,E29/$O$9)+MIN(1,F29/$O$10)+MIN(1,G29/$O$11))/4,0))</f>
        <v/>
      </c>
      <c r="K29" s="26">
        <f>IF(J29="",0,IF(J29&gt;=$O$12,N(K28)+1,0))</f>
        <v/>
      </c>
      <c r="L29" s="26">
        <f>INT((A29-$O$5)/7)+1</f>
        <v/>
      </c>
      <c r="M29" s="5" t="n"/>
      <c r="N29" s="5" t="n"/>
      <c r="O29" s="5" t="n"/>
      <c r="P29" s="5" t="n"/>
      <c r="Q29" s="5" t="n"/>
      <c r="R29" s="5" t="n"/>
    </row>
    <row r="30">
      <c r="A30" s="23">
        <f>$O$5+15</f>
        <v/>
      </c>
      <c r="B30" s="24">
        <f>CHOOSE(WEEKDAY(A30,1),"Sun","Mon","Tue","Wed","Thu","Fri","Sat")</f>
        <v/>
      </c>
      <c r="C30" s="16" t="n">
        <v>83</v>
      </c>
      <c r="D30" s="16" t="n">
        <v>7.5</v>
      </c>
      <c r="E30" s="15" t="n">
        <v>6</v>
      </c>
      <c r="F30" s="20" t="n">
        <v>6348</v>
      </c>
      <c r="G30" s="15" t="n">
        <v>45</v>
      </c>
      <c r="H30" s="15" t="n">
        <v>4</v>
      </c>
      <c r="I30" s="20" t="n">
        <v>2242</v>
      </c>
      <c r="J30" s="25">
        <f>IF(COUNT(D30:G30)&lt;4,"",ROUND(100*(MIN(1,D30/$O$8)+MIN(1,E30/$O$9)+MIN(1,F30/$O$10)+MIN(1,G30/$O$11))/4,0))</f>
        <v/>
      </c>
      <c r="K30" s="26">
        <f>IF(J30="",0,IF(J30&gt;=$O$12,N(K29)+1,0))</f>
        <v/>
      </c>
      <c r="L30" s="26">
        <f>INT((A30-$O$5)/7)+1</f>
        <v/>
      </c>
      <c r="M30" s="5" t="n"/>
      <c r="N30" s="5" t="n"/>
      <c r="O30" s="5" t="n"/>
      <c r="P30" s="5" t="n"/>
      <c r="Q30" s="5" t="n"/>
      <c r="R30" s="5" t="n"/>
    </row>
    <row r="31">
      <c r="A31" s="23">
        <f>$O$5+16</f>
        <v/>
      </c>
      <c r="B31" s="24">
        <f>CHOOSE(WEEKDAY(A31,1),"Sun","Mon","Tue","Wed","Thu","Fri","Sat")</f>
        <v/>
      </c>
      <c r="C31" s="16" t="n">
        <v>83</v>
      </c>
      <c r="D31" s="16" t="n">
        <v>8.1</v>
      </c>
      <c r="E31" s="15" t="n">
        <v>7</v>
      </c>
      <c r="F31" s="20" t="n">
        <v>7097</v>
      </c>
      <c r="G31" s="15" t="n">
        <v>30</v>
      </c>
      <c r="H31" s="15" t="n">
        <v>3</v>
      </c>
      <c r="I31" s="20" t="n">
        <v>2348</v>
      </c>
      <c r="J31" s="25">
        <f>IF(COUNT(D31:G31)&lt;4,"",ROUND(100*(MIN(1,D31/$O$8)+MIN(1,E31/$O$9)+MIN(1,F31/$O$10)+MIN(1,G31/$O$11))/4,0))</f>
        <v/>
      </c>
      <c r="K31" s="26">
        <f>IF(J31="",0,IF(J31&gt;=$O$12,N(K30)+1,0))</f>
        <v/>
      </c>
      <c r="L31" s="26">
        <f>INT((A31-$O$5)/7)+1</f>
        <v/>
      </c>
      <c r="M31" s="5" t="n"/>
      <c r="N31" s="5" t="n"/>
      <c r="O31" s="5" t="n"/>
      <c r="P31" s="5" t="n"/>
      <c r="Q31" s="5" t="n"/>
      <c r="R31" s="5" t="n"/>
    </row>
    <row r="32">
      <c r="A32" s="23">
        <f>$O$5+17</f>
        <v/>
      </c>
      <c r="B32" s="24">
        <f>CHOOSE(WEEKDAY(A32,1),"Sun","Mon","Tue","Wed","Thu","Fri","Sat")</f>
        <v/>
      </c>
      <c r="C32" s="16" t="n">
        <v>82.8</v>
      </c>
      <c r="D32" s="16" t="n">
        <v>6.5</v>
      </c>
      <c r="E32" s="15" t="n">
        <v>4</v>
      </c>
      <c r="F32" s="20" t="n">
        <v>5993</v>
      </c>
      <c r="G32" s="15" t="n">
        <v>20</v>
      </c>
      <c r="H32" s="15" t="n">
        <v>3</v>
      </c>
      <c r="I32" s="20" t="n">
        <v>2214</v>
      </c>
      <c r="J32" s="25">
        <f>IF(COUNT(D32:G32)&lt;4,"",ROUND(100*(MIN(1,D32/$O$8)+MIN(1,E32/$O$9)+MIN(1,F32/$O$10)+MIN(1,G32/$O$11))/4,0))</f>
        <v/>
      </c>
      <c r="K32" s="26">
        <f>IF(J32="",0,IF(J32&gt;=$O$12,N(K31)+1,0))</f>
        <v/>
      </c>
      <c r="L32" s="26">
        <f>INT((A32-$O$5)/7)+1</f>
        <v/>
      </c>
      <c r="M32" s="5" t="n"/>
      <c r="N32" s="5" t="n"/>
      <c r="O32" s="5" t="n"/>
      <c r="P32" s="5" t="n"/>
      <c r="Q32" s="5" t="n"/>
      <c r="R32" s="5" t="n"/>
    </row>
    <row r="33">
      <c r="A33" s="23">
        <f>$O$5+18</f>
        <v/>
      </c>
      <c r="B33" s="24">
        <f>CHOOSE(WEEKDAY(A33,1),"Sun","Mon","Tue","Wed","Thu","Fri","Sat")</f>
        <v/>
      </c>
      <c r="C33" s="16" t="n">
        <v>83.09999999999999</v>
      </c>
      <c r="D33" s="16" t="n">
        <v>7.6</v>
      </c>
      <c r="E33" s="15" t="n">
        <v>5</v>
      </c>
      <c r="F33" s="20" t="n">
        <v>6851</v>
      </c>
      <c r="G33" s="15" t="n">
        <v>0</v>
      </c>
      <c r="H33" s="15" t="n">
        <v>4</v>
      </c>
      <c r="I33" s="20" t="n">
        <v>2170</v>
      </c>
      <c r="J33" s="25">
        <f>IF(COUNT(D33:G33)&lt;4,"",ROUND(100*(MIN(1,D33/$O$8)+MIN(1,E33/$O$9)+MIN(1,F33/$O$10)+MIN(1,G33/$O$11))/4,0))</f>
        <v/>
      </c>
      <c r="K33" s="26">
        <f>IF(J33="",0,IF(J33&gt;=$O$12,N(K32)+1,0))</f>
        <v/>
      </c>
      <c r="L33" s="26">
        <f>INT((A33-$O$5)/7)+1</f>
        <v/>
      </c>
      <c r="M33" s="5" t="n"/>
      <c r="N33" s="5" t="n"/>
      <c r="O33" s="5" t="n"/>
      <c r="P33" s="5" t="n"/>
      <c r="Q33" s="5" t="n"/>
      <c r="R33" s="5" t="n"/>
    </row>
    <row r="34">
      <c r="A34" s="23">
        <f>$O$5+19</f>
        <v/>
      </c>
      <c r="B34" s="24">
        <f>CHOOSE(WEEKDAY(A34,1),"Sun","Mon","Tue","Wed","Thu","Fri","Sat")</f>
        <v/>
      </c>
      <c r="C34" s="16" t="n">
        <v>82.59999999999999</v>
      </c>
      <c r="D34" s="16" t="n">
        <v>7.2</v>
      </c>
      <c r="E34" s="15" t="n">
        <v>8</v>
      </c>
      <c r="F34" s="20" t="n">
        <v>5492</v>
      </c>
      <c r="G34" s="15" t="n">
        <v>45</v>
      </c>
      <c r="H34" s="15" t="n">
        <v>4</v>
      </c>
      <c r="I34" s="20" t="n">
        <v>2290</v>
      </c>
      <c r="J34" s="25">
        <f>IF(COUNT(D34:G34)&lt;4,"",ROUND(100*(MIN(1,D34/$O$8)+MIN(1,E34/$O$9)+MIN(1,F34/$O$10)+MIN(1,G34/$O$11))/4,0))</f>
        <v/>
      </c>
      <c r="K34" s="26">
        <f>IF(J34="",0,IF(J34&gt;=$O$12,N(K33)+1,0))</f>
        <v/>
      </c>
      <c r="L34" s="26">
        <f>INT((A34-$O$5)/7)+1</f>
        <v/>
      </c>
      <c r="M34" s="5" t="n"/>
      <c r="N34" s="5" t="n"/>
      <c r="O34" s="5" t="n"/>
      <c r="P34" s="5" t="n"/>
      <c r="Q34" s="5" t="n"/>
      <c r="R34" s="5" t="n"/>
    </row>
    <row r="35">
      <c r="A35" s="23">
        <f>$O$5+20</f>
        <v/>
      </c>
      <c r="B35" s="24">
        <f>CHOOSE(WEEKDAY(A35,1),"Sun","Mon","Tue","Wed","Thu","Fri","Sat")</f>
        <v/>
      </c>
      <c r="C35" s="16" t="n">
        <v>82.7</v>
      </c>
      <c r="D35" s="16" t="n">
        <v>7</v>
      </c>
      <c r="E35" s="15" t="n">
        <v>9</v>
      </c>
      <c r="F35" s="20" t="n">
        <v>5430</v>
      </c>
      <c r="G35" s="15" t="n">
        <v>60</v>
      </c>
      <c r="H35" s="15" t="n">
        <v>4</v>
      </c>
      <c r="I35" s="20" t="n">
        <v>2064</v>
      </c>
      <c r="J35" s="25">
        <f>IF(COUNT(D35:G35)&lt;4,"",ROUND(100*(MIN(1,D35/$O$8)+MIN(1,E35/$O$9)+MIN(1,F35/$O$10)+MIN(1,G35/$O$11))/4,0))</f>
        <v/>
      </c>
      <c r="K35" s="26">
        <f>IF(J35="",0,IF(J35&gt;=$O$12,N(K34)+1,0))</f>
        <v/>
      </c>
      <c r="L35" s="26">
        <f>INT((A35-$O$5)/7)+1</f>
        <v/>
      </c>
      <c r="M35" s="5" t="n"/>
      <c r="N35" s="5" t="n"/>
      <c r="O35" s="5" t="n"/>
      <c r="P35" s="5" t="n"/>
      <c r="Q35" s="5" t="n"/>
      <c r="R35" s="5" t="n"/>
    </row>
    <row r="36">
      <c r="A36" s="23">
        <f>$O$5+21</f>
        <v/>
      </c>
      <c r="B36" s="24">
        <f>CHOOSE(WEEKDAY(A36,1),"Sun","Mon","Tue","Wed","Thu","Fri","Sat")</f>
        <v/>
      </c>
      <c r="C36" s="16" t="n">
        <v>82.7</v>
      </c>
      <c r="D36" s="16" t="n">
        <v>7.1</v>
      </c>
      <c r="E36" s="15" t="n">
        <v>7</v>
      </c>
      <c r="F36" s="20" t="n">
        <v>7772</v>
      </c>
      <c r="G36" s="15" t="n">
        <v>30</v>
      </c>
      <c r="H36" s="15" t="n">
        <v>3</v>
      </c>
      <c r="I36" s="20" t="n">
        <v>2390</v>
      </c>
      <c r="J36" s="25">
        <f>IF(COUNT(D36:G36)&lt;4,"",ROUND(100*(MIN(1,D36/$O$8)+MIN(1,E36/$O$9)+MIN(1,F36/$O$10)+MIN(1,G36/$O$11))/4,0))</f>
        <v/>
      </c>
      <c r="K36" s="26">
        <f>IF(J36="",0,IF(J36&gt;=$O$12,N(K35)+1,0))</f>
        <v/>
      </c>
      <c r="L36" s="26">
        <f>INT((A36-$O$5)/7)+1</f>
        <v/>
      </c>
      <c r="M36" s="5" t="n"/>
      <c r="N36" s="5" t="n"/>
      <c r="O36" s="5" t="n"/>
      <c r="P36" s="5" t="n"/>
      <c r="Q36" s="5" t="n"/>
      <c r="R36" s="5" t="n"/>
    </row>
    <row r="37">
      <c r="A37" s="23">
        <f>$O$5+22</f>
        <v/>
      </c>
      <c r="B37" s="24">
        <f>CHOOSE(WEEKDAY(A37,1),"Sun","Mon","Tue","Wed","Thu","Fri","Sat")</f>
        <v/>
      </c>
      <c r="C37" s="16" t="n">
        <v>82.5</v>
      </c>
      <c r="D37" s="16" t="n">
        <v>6.1</v>
      </c>
      <c r="E37" s="15" t="n">
        <v>7</v>
      </c>
      <c r="F37" s="20" t="n">
        <v>7979</v>
      </c>
      <c r="G37" s="15" t="n">
        <v>0</v>
      </c>
      <c r="H37" s="15" t="n">
        <v>3</v>
      </c>
      <c r="I37" s="20" t="n">
        <v>2173</v>
      </c>
      <c r="J37" s="25">
        <f>IF(COUNT(D37:G37)&lt;4,"",ROUND(100*(MIN(1,D37/$O$8)+MIN(1,E37/$O$9)+MIN(1,F37/$O$10)+MIN(1,G37/$O$11))/4,0))</f>
        <v/>
      </c>
      <c r="K37" s="26">
        <f>IF(J37="",0,IF(J37&gt;=$O$12,N(K36)+1,0))</f>
        <v/>
      </c>
      <c r="L37" s="26">
        <f>INT((A37-$O$5)/7)+1</f>
        <v/>
      </c>
      <c r="M37" s="5" t="n"/>
      <c r="N37" s="5" t="n"/>
      <c r="O37" s="5" t="n"/>
      <c r="P37" s="5" t="n"/>
      <c r="Q37" s="5" t="n"/>
      <c r="R37" s="5" t="n"/>
    </row>
    <row r="38">
      <c r="A38" s="23">
        <f>$O$5+23</f>
        <v/>
      </c>
      <c r="B38" s="24">
        <f>CHOOSE(WEEKDAY(A38,1),"Sun","Mon","Tue","Wed","Thu","Fri","Sat")</f>
        <v/>
      </c>
      <c r="C38" s="16" t="n">
        <v>82.59999999999999</v>
      </c>
      <c r="D38" s="16" t="n">
        <v>7.3</v>
      </c>
      <c r="E38" s="15" t="n">
        <v>4</v>
      </c>
      <c r="F38" s="20" t="n">
        <v>5147</v>
      </c>
      <c r="G38" s="15" t="n">
        <v>30</v>
      </c>
      <c r="H38" s="15" t="n">
        <v>3</v>
      </c>
      <c r="I38" s="20" t="n">
        <v>2158</v>
      </c>
      <c r="J38" s="25">
        <f>IF(COUNT(D38:G38)&lt;4,"",ROUND(100*(MIN(1,D38/$O$8)+MIN(1,E38/$O$9)+MIN(1,F38/$O$10)+MIN(1,G38/$O$11))/4,0))</f>
        <v/>
      </c>
      <c r="K38" s="26">
        <f>IF(J38="",0,IF(J38&gt;=$O$12,N(K37)+1,0))</f>
        <v/>
      </c>
      <c r="L38" s="26">
        <f>INT((A38-$O$5)/7)+1</f>
        <v/>
      </c>
      <c r="M38" s="5" t="n"/>
      <c r="N38" s="5" t="n"/>
      <c r="O38" s="5" t="n"/>
      <c r="P38" s="5" t="n"/>
      <c r="Q38" s="5" t="n"/>
      <c r="R38" s="5" t="n"/>
    </row>
    <row r="39">
      <c r="A39" s="23">
        <f>$O$5+24</f>
        <v/>
      </c>
      <c r="B39" s="24">
        <f>CHOOSE(WEEKDAY(A39,1),"Sun","Mon","Tue","Wed","Thu","Fri","Sat")</f>
        <v/>
      </c>
      <c r="C39" s="16" t="n">
        <v>82.8</v>
      </c>
      <c r="D39" s="16" t="n">
        <v>8</v>
      </c>
      <c r="E39" s="15" t="n">
        <v>8</v>
      </c>
      <c r="F39" s="20" t="n">
        <v>7750</v>
      </c>
      <c r="G39" s="15" t="n">
        <v>30</v>
      </c>
      <c r="H39" s="15" t="n">
        <v>4</v>
      </c>
      <c r="I39" s="20" t="n">
        <v>1863</v>
      </c>
      <c r="J39" s="25">
        <f>IF(COUNT(D39:G39)&lt;4,"",ROUND(100*(MIN(1,D39/$O$8)+MIN(1,E39/$O$9)+MIN(1,F39/$O$10)+MIN(1,G39/$O$11))/4,0))</f>
        <v/>
      </c>
      <c r="K39" s="26">
        <f>IF(J39="",0,IF(J39&gt;=$O$12,N(K38)+1,0))</f>
        <v/>
      </c>
      <c r="L39" s="26">
        <f>INT((A39-$O$5)/7)+1</f>
        <v/>
      </c>
      <c r="M39" s="5" t="n"/>
      <c r="N39" s="5" t="n"/>
      <c r="O39" s="5" t="n"/>
      <c r="P39" s="5" t="n"/>
      <c r="Q39" s="5" t="n"/>
      <c r="R39" s="5" t="n"/>
    </row>
    <row r="40">
      <c r="A40" s="23">
        <f>$O$5+25</f>
        <v/>
      </c>
      <c r="B40" s="24">
        <f>CHOOSE(WEEKDAY(A40,1),"Sun","Mon","Tue","Wed","Thu","Fri","Sat")</f>
        <v/>
      </c>
      <c r="C40" s="16" t="n">
        <v>82.59999999999999</v>
      </c>
      <c r="D40" s="16" t="n">
        <v>7.2</v>
      </c>
      <c r="E40" s="15" t="n">
        <v>4</v>
      </c>
      <c r="F40" s="20" t="n">
        <v>6799</v>
      </c>
      <c r="G40" s="15" t="n">
        <v>0</v>
      </c>
      <c r="H40" s="15" t="n">
        <v>4</v>
      </c>
      <c r="I40" s="20" t="n">
        <v>2315</v>
      </c>
      <c r="J40" s="25">
        <f>IF(COUNT(D40:G40)&lt;4,"",ROUND(100*(MIN(1,D40/$O$8)+MIN(1,E40/$O$9)+MIN(1,F40/$O$10)+MIN(1,G40/$O$11))/4,0))</f>
        <v/>
      </c>
      <c r="K40" s="26">
        <f>IF(J40="",0,IF(J40&gt;=$O$12,N(K39)+1,0))</f>
        <v/>
      </c>
      <c r="L40" s="26">
        <f>INT((A40-$O$5)/7)+1</f>
        <v/>
      </c>
      <c r="M40" s="5" t="n"/>
      <c r="N40" s="5" t="n"/>
      <c r="O40" s="5" t="n"/>
      <c r="P40" s="5" t="n"/>
      <c r="Q40" s="5" t="n"/>
      <c r="R40" s="5" t="n"/>
    </row>
    <row r="41">
      <c r="A41" s="23">
        <f>$O$5+26</f>
        <v/>
      </c>
      <c r="B41" s="24">
        <f>CHOOSE(WEEKDAY(A41,1),"Sun","Mon","Tue","Wed","Thu","Fri","Sat")</f>
        <v/>
      </c>
      <c r="C41" s="16" t="n">
        <v>82.3</v>
      </c>
      <c r="D41" s="16" t="n">
        <v>7.3</v>
      </c>
      <c r="E41" s="15" t="n">
        <v>4</v>
      </c>
      <c r="F41" s="20" t="n">
        <v>7702</v>
      </c>
      <c r="G41" s="15" t="n">
        <v>0</v>
      </c>
      <c r="H41" s="15" t="n">
        <v>3</v>
      </c>
      <c r="I41" s="20" t="n">
        <v>2121</v>
      </c>
      <c r="J41" s="25">
        <f>IF(COUNT(D41:G41)&lt;4,"",ROUND(100*(MIN(1,D41/$O$8)+MIN(1,E41/$O$9)+MIN(1,F41/$O$10)+MIN(1,G41/$O$11))/4,0))</f>
        <v/>
      </c>
      <c r="K41" s="26">
        <f>IF(J41="",0,IF(J41&gt;=$O$12,N(K40)+1,0))</f>
        <v/>
      </c>
      <c r="L41" s="26">
        <f>INT((A41-$O$5)/7)+1</f>
        <v/>
      </c>
      <c r="M41" s="5" t="n"/>
      <c r="N41" s="5" t="n"/>
      <c r="O41" s="5" t="n"/>
      <c r="P41" s="5" t="n"/>
      <c r="Q41" s="5" t="n"/>
      <c r="R41" s="5" t="n"/>
    </row>
    <row r="42">
      <c r="A42" s="23">
        <f>$O$5+27</f>
        <v/>
      </c>
      <c r="B42" s="24">
        <f>CHOOSE(WEEKDAY(A42,1),"Sun","Mon","Tue","Wed","Thu","Fri","Sat")</f>
        <v/>
      </c>
      <c r="C42" s="16" t="n">
        <v>82.09999999999999</v>
      </c>
      <c r="D42" s="16" t="n">
        <v>6.6</v>
      </c>
      <c r="E42" s="15" t="n">
        <v>8</v>
      </c>
      <c r="F42" s="20" t="n">
        <v>4087</v>
      </c>
      <c r="G42" s="15" t="n">
        <v>30</v>
      </c>
      <c r="H42" s="15" t="n">
        <v>3</v>
      </c>
      <c r="I42" s="20" t="n">
        <v>1989</v>
      </c>
      <c r="J42" s="25">
        <f>IF(COUNT(D42:G42)&lt;4,"",ROUND(100*(MIN(1,D42/$O$8)+MIN(1,E42/$O$9)+MIN(1,F42/$O$10)+MIN(1,G42/$O$11))/4,0))</f>
        <v/>
      </c>
      <c r="K42" s="26">
        <f>IF(J42="",0,IF(J42&gt;=$O$12,N(K41)+1,0))</f>
        <v/>
      </c>
      <c r="L42" s="26">
        <f>INT((A42-$O$5)/7)+1</f>
        <v/>
      </c>
      <c r="M42" s="5" t="n"/>
      <c r="N42" s="5" t="n"/>
      <c r="O42" s="5" t="n"/>
      <c r="P42" s="5" t="n"/>
      <c r="Q42" s="5" t="n"/>
      <c r="R42" s="5" t="n"/>
    </row>
    <row r="43">
      <c r="A43" s="23">
        <f>$O$5+28</f>
        <v/>
      </c>
      <c r="B43" s="24">
        <f>CHOOSE(WEEKDAY(A43,1),"Sun","Mon","Tue","Wed","Thu","Fri","Sat")</f>
        <v/>
      </c>
      <c r="C43" s="16" t="n"/>
      <c r="D43" s="16" t="n"/>
      <c r="E43" s="15" t="n"/>
      <c r="F43" s="20" t="n"/>
      <c r="G43" s="15" t="n"/>
      <c r="H43" s="15" t="n"/>
      <c r="I43" s="20" t="n"/>
      <c r="J43" s="25">
        <f>IF(COUNT(D43:G43)&lt;4,"",ROUND(100*(MIN(1,D43/$O$8)+MIN(1,E43/$O$9)+MIN(1,F43/$O$10)+MIN(1,G43/$O$11))/4,0))</f>
        <v/>
      </c>
      <c r="K43" s="26">
        <f>IF(J43="",0,IF(J43&gt;=$O$12,N(K42)+1,0))</f>
        <v/>
      </c>
      <c r="L43" s="26">
        <f>INT((A43-$O$5)/7)+1</f>
        <v/>
      </c>
      <c r="M43" s="5" t="n"/>
      <c r="N43" s="5" t="n"/>
      <c r="O43" s="5" t="n"/>
      <c r="P43" s="5" t="n"/>
      <c r="Q43" s="5" t="n"/>
      <c r="R43" s="5" t="n"/>
    </row>
    <row r="44">
      <c r="A44" s="23">
        <f>$O$5+29</f>
        <v/>
      </c>
      <c r="B44" s="24">
        <f>CHOOSE(WEEKDAY(A44,1),"Sun","Mon","Tue","Wed","Thu","Fri","Sat")</f>
        <v/>
      </c>
      <c r="C44" s="16" t="n"/>
      <c r="D44" s="16" t="n"/>
      <c r="E44" s="15" t="n"/>
      <c r="F44" s="20" t="n"/>
      <c r="G44" s="15" t="n"/>
      <c r="H44" s="15" t="n"/>
      <c r="I44" s="20" t="n"/>
      <c r="J44" s="25">
        <f>IF(COUNT(D44:G44)&lt;4,"",ROUND(100*(MIN(1,D44/$O$8)+MIN(1,E44/$O$9)+MIN(1,F44/$O$10)+MIN(1,G44/$O$11))/4,0))</f>
        <v/>
      </c>
      <c r="K44" s="26">
        <f>IF(J44="",0,IF(J44&gt;=$O$12,N(K43)+1,0))</f>
        <v/>
      </c>
      <c r="L44" s="26">
        <f>INT((A44-$O$5)/7)+1</f>
        <v/>
      </c>
      <c r="M44" s="5" t="n"/>
      <c r="N44" s="5" t="n"/>
      <c r="O44" s="5" t="n"/>
      <c r="P44" s="5" t="n"/>
      <c r="Q44" s="5" t="n"/>
      <c r="R44" s="5" t="n"/>
    </row>
    <row r="45">
      <c r="A45" s="23">
        <f>$O$5+30</f>
        <v/>
      </c>
      <c r="B45" s="24">
        <f>CHOOSE(WEEKDAY(A45,1),"Sun","Mon","Tue","Wed","Thu","Fri","Sat")</f>
        <v/>
      </c>
      <c r="C45" s="16" t="n"/>
      <c r="D45" s="16" t="n"/>
      <c r="E45" s="15" t="n"/>
      <c r="F45" s="20" t="n"/>
      <c r="G45" s="15" t="n"/>
      <c r="H45" s="15" t="n"/>
      <c r="I45" s="20" t="n"/>
      <c r="J45" s="25">
        <f>IF(COUNT(D45:G45)&lt;4,"",ROUND(100*(MIN(1,D45/$O$8)+MIN(1,E45/$O$9)+MIN(1,F45/$O$10)+MIN(1,G45/$O$11))/4,0))</f>
        <v/>
      </c>
      <c r="K45" s="26">
        <f>IF(J45="",0,IF(J45&gt;=$O$12,N(K44)+1,0))</f>
        <v/>
      </c>
      <c r="L45" s="26">
        <f>INT((A45-$O$5)/7)+1</f>
        <v/>
      </c>
      <c r="M45" s="5" t="n"/>
      <c r="N45" s="5" t="n"/>
      <c r="O45" s="5" t="n"/>
      <c r="P45" s="5" t="n"/>
      <c r="Q45" s="5" t="n"/>
      <c r="R45" s="5" t="n"/>
    </row>
    <row r="46">
      <c r="A46" s="23">
        <f>$O$5+31</f>
        <v/>
      </c>
      <c r="B46" s="24">
        <f>CHOOSE(WEEKDAY(A46,1),"Sun","Mon","Tue","Wed","Thu","Fri","Sat")</f>
        <v/>
      </c>
      <c r="C46" s="16" t="n"/>
      <c r="D46" s="16" t="n"/>
      <c r="E46" s="15" t="n"/>
      <c r="F46" s="20" t="n"/>
      <c r="G46" s="15" t="n"/>
      <c r="H46" s="15" t="n"/>
      <c r="I46" s="20" t="n"/>
      <c r="J46" s="25">
        <f>IF(COUNT(D46:G46)&lt;4,"",ROUND(100*(MIN(1,D46/$O$8)+MIN(1,E46/$O$9)+MIN(1,F46/$O$10)+MIN(1,G46/$O$11))/4,0))</f>
        <v/>
      </c>
      <c r="K46" s="26">
        <f>IF(J46="",0,IF(J46&gt;=$O$12,N(K45)+1,0))</f>
        <v/>
      </c>
      <c r="L46" s="26">
        <f>INT((A46-$O$5)/7)+1</f>
        <v/>
      </c>
      <c r="M46" s="5" t="n"/>
      <c r="N46" s="5" t="n"/>
      <c r="O46" s="5" t="n"/>
      <c r="P46" s="5" t="n"/>
      <c r="Q46" s="5" t="n"/>
      <c r="R46" s="5" t="n"/>
    </row>
    <row r="47">
      <c r="A47" s="23">
        <f>$O$5+32</f>
        <v/>
      </c>
      <c r="B47" s="24">
        <f>CHOOSE(WEEKDAY(A47,1),"Sun","Mon","Tue","Wed","Thu","Fri","Sat")</f>
        <v/>
      </c>
      <c r="C47" s="16" t="n"/>
      <c r="D47" s="16" t="n"/>
      <c r="E47" s="15" t="n"/>
      <c r="F47" s="20" t="n"/>
      <c r="G47" s="15" t="n"/>
      <c r="H47" s="15" t="n"/>
      <c r="I47" s="20" t="n"/>
      <c r="J47" s="25">
        <f>IF(COUNT(D47:G47)&lt;4,"",ROUND(100*(MIN(1,D47/$O$8)+MIN(1,E47/$O$9)+MIN(1,F47/$O$10)+MIN(1,G47/$O$11))/4,0))</f>
        <v/>
      </c>
      <c r="K47" s="26">
        <f>IF(J47="",0,IF(J47&gt;=$O$12,N(K46)+1,0))</f>
        <v/>
      </c>
      <c r="L47" s="26">
        <f>INT((A47-$O$5)/7)+1</f>
        <v/>
      </c>
      <c r="M47" s="5" t="n"/>
      <c r="N47" s="5" t="n"/>
      <c r="O47" s="5" t="n"/>
      <c r="P47" s="5" t="n"/>
      <c r="Q47" s="5" t="n"/>
      <c r="R47" s="5" t="n"/>
    </row>
    <row r="48">
      <c r="A48" s="23">
        <f>$O$5+33</f>
        <v/>
      </c>
      <c r="B48" s="24">
        <f>CHOOSE(WEEKDAY(A48,1),"Sun","Mon","Tue","Wed","Thu","Fri","Sat")</f>
        <v/>
      </c>
      <c r="C48" s="16" t="n"/>
      <c r="D48" s="16" t="n"/>
      <c r="E48" s="15" t="n"/>
      <c r="F48" s="20" t="n"/>
      <c r="G48" s="15" t="n"/>
      <c r="H48" s="15" t="n"/>
      <c r="I48" s="20" t="n"/>
      <c r="J48" s="25">
        <f>IF(COUNT(D48:G48)&lt;4,"",ROUND(100*(MIN(1,D48/$O$8)+MIN(1,E48/$O$9)+MIN(1,F48/$O$10)+MIN(1,G48/$O$11))/4,0))</f>
        <v/>
      </c>
      <c r="K48" s="26">
        <f>IF(J48="",0,IF(J48&gt;=$O$12,N(K47)+1,0))</f>
        <v/>
      </c>
      <c r="L48" s="26">
        <f>INT((A48-$O$5)/7)+1</f>
        <v/>
      </c>
      <c r="M48" s="5" t="n"/>
      <c r="N48" s="5" t="n"/>
      <c r="O48" s="5" t="n"/>
      <c r="P48" s="5" t="n"/>
      <c r="Q48" s="5" t="n"/>
      <c r="R48" s="5" t="n"/>
    </row>
    <row r="49">
      <c r="A49" s="23">
        <f>$O$5+34</f>
        <v/>
      </c>
      <c r="B49" s="24">
        <f>CHOOSE(WEEKDAY(A49,1),"Sun","Mon","Tue","Wed","Thu","Fri","Sat")</f>
        <v/>
      </c>
      <c r="C49" s="16" t="n"/>
      <c r="D49" s="16" t="n"/>
      <c r="E49" s="15" t="n"/>
      <c r="F49" s="20" t="n"/>
      <c r="G49" s="15" t="n"/>
      <c r="H49" s="15" t="n"/>
      <c r="I49" s="20" t="n"/>
      <c r="J49" s="25">
        <f>IF(COUNT(D49:G49)&lt;4,"",ROUND(100*(MIN(1,D49/$O$8)+MIN(1,E49/$O$9)+MIN(1,F49/$O$10)+MIN(1,G49/$O$11))/4,0))</f>
        <v/>
      </c>
      <c r="K49" s="26">
        <f>IF(J49="",0,IF(J49&gt;=$O$12,N(K48)+1,0))</f>
        <v/>
      </c>
      <c r="L49" s="26">
        <f>INT((A49-$O$5)/7)+1</f>
        <v/>
      </c>
      <c r="M49" s="5" t="n"/>
      <c r="N49" s="5" t="n"/>
      <c r="O49" s="5" t="n"/>
      <c r="P49" s="5" t="n"/>
      <c r="Q49" s="5" t="n"/>
      <c r="R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0">
    <mergeCell ref="J4:L4"/>
    <mergeCell ref="D7:F7"/>
    <mergeCell ref="J7:L7"/>
    <mergeCell ref="A3:R3"/>
    <mergeCell ref="A5:C5"/>
    <mergeCell ref="G5:I5"/>
    <mergeCell ref="A8:C8"/>
    <mergeCell ref="D4:F4"/>
    <mergeCell ref="G4:I4"/>
    <mergeCell ref="D8:F8"/>
    <mergeCell ref="A4:C4"/>
    <mergeCell ref="A10:L10"/>
    <mergeCell ref="D5:F5"/>
    <mergeCell ref="J8:L8"/>
    <mergeCell ref="N13:R13"/>
    <mergeCell ref="J5:L5"/>
    <mergeCell ref="G8:I8"/>
    <mergeCell ref="A1:R1"/>
    <mergeCell ref="A7:C7"/>
    <mergeCell ref="G7:I7"/>
  </mergeCells>
  <conditionalFormatting sqref="J15:J49">
    <cfRule type="expression" priority="1" dxfId="0">
      <formula>AND(J15&lt;&gt;"",J15&gt;=$O$12)</formula>
    </cfRule>
    <cfRule type="expression" priority="2" dxfId="1">
      <formula>AND(J15&lt;&gt;"",J15&lt;60)</formula>
    </cfRule>
  </conditionalFormatting>
  <conditionalFormatting sqref="D15:D49">
    <cfRule type="expression" priority="3" dxfId="2">
      <formula>AND(D15&lt;&gt;"",D15&lt;$O$8)</formula>
    </cfRule>
  </conditionalFormatting>
  <conditionalFormatting sqref="F15:F49">
    <cfRule type="expression" priority="4" dxfId="3">
      <formula>AND(F15&lt;&gt;"",F15&gt;=$O$10)</formula>
    </cfRule>
  </conditionalFormatting>
  <conditionalFormatting sqref="Q15:Q19">
    <cfRule type="dataBar" priority="5">
      <dataBar showValue="1">
        <cfvo type="num" val="0"/>
        <cfvo type="max"/>
        <color rgb="00A3E635"/>
      </dataBar>
    </cfRule>
  </conditionalFormatting>
  <dataValidations count="13">
    <dataValidation sqref="O5" showDropDown="0" showInputMessage="0" showErrorMessage="1" allowBlank="1" errorTitle="Sheetaky" error="Enter a valid date" type="date" operator="greaterThan">
      <formula1>1</formula1>
    </dataValidation>
    <dataValidation sqref="O6" showDropDown="0" showInputMessage="0" showErrorMessage="1" allowBlank="1" errorTitle="Sheetaky" error="Enter a number between 100 and 230" type="decimal" operator="between">
      <formula1>100</formula1>
      <formula2>230</formula2>
    </dataValidation>
    <dataValidation sqref="O7" showDropDown="0" showInputMessage="0" showErrorMessage="1" allowBlank="1" errorTitle="Sheetaky" error="Enter a number between 30 and 250" type="decimal" operator="between">
      <formula1>30</formula1>
      <formula2>250</formula2>
    </dataValidation>
    <dataValidation sqref="O8:O9" showDropDown="0" showInputMessage="0" showErrorMessage="1" allowBlank="1" errorTitle="Sheetaky" error="Enter a number between 0 and 24" type="decimal" operator="between">
      <formula1>0</formula1>
      <formula2>24</formula2>
    </dataValidation>
    <dataValidation sqref="O10" showDropDown="0" showInputMessage="0" showErrorMessage="1" allowBlank="1" errorTitle="Sheetaky" error="Enter a number between 0 and 100000" type="whole" operator="between">
      <formula1>0</formula1>
      <formula2>100000</formula2>
    </dataValidation>
    <dataValidation sqref="O11:O12" showDropDown="0" showInputMessage="0" showErrorMessage="1" allowBlank="1" errorTitle="Sheetaky" error="Enter a number between 0 and 1000" type="whole" operator="between">
      <formula1>0</formula1>
      <formula2>1000</formula2>
    </dataValidation>
    <dataValidation sqref="C15:C49" showDropDown="0" showInputMessage="0" showErrorMessage="1" allowBlank="1" errorTitle="Sheetaky" error="Enter a number between 30 and 300" type="decimal" operator="between">
      <formula1>30</formula1>
      <formula2>300</formula2>
    </dataValidation>
    <dataValidation sqref="D15:D49" showDropDown="0" showInputMessage="0" showErrorMessage="1" allowBlank="1" errorTitle="Sheetaky" error="Enter a number between 0 and 24" type="decimal" operator="between">
      <formula1>0</formula1>
      <formula2>24</formula2>
    </dataValidation>
    <dataValidation sqref="E15:E49" showDropDown="0" showInputMessage="0" showErrorMessage="1" allowBlank="1" errorTitle="Sheetaky" error="Enter a number between 0 and 40" type="whole" operator="between">
      <formula1>0</formula1>
      <formula2>40</formula2>
    </dataValidation>
    <dataValidation sqref="F15:F49" showDropDown="0" showInputMessage="0" showErrorMessage="1" allowBlank="1" errorTitle="Sheetaky" error="Enter a number between 0 and 100000" type="whole" operator="between">
      <formula1>0</formula1>
      <formula2>100000</formula2>
    </dataValidation>
    <dataValidation sqref="G15:G49" showDropDown="0" showInputMessage="0" showErrorMessage="1" allowBlank="1" errorTitle="Sheetaky" error="Enter a number between 0 and 600" type="whole" operator="between">
      <formula1>0</formula1>
      <formula2>600</formula2>
    </dataValidation>
    <dataValidation sqref="H15:H49" showDropDown="0" showInputMessage="0" showErrorMessage="1" allowBlank="1" errorTitle="Sheetaky" error="Enter a number between 1 and 5" type="whole" operator="between">
      <formula1>1</formula1>
      <formula2>5</formula2>
    </dataValidation>
    <dataValidation sqref="I15:I49" showDropDown="0" showInputMessage="0" showErrorMessage="1" allowBlank="1" errorTitle="Sheetaky" error="Enter a number between 0 and 10000" type="whole" operator="between">
      <formula1>0</formula1>
      <formula2>10000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3E635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9" t="inlineStr">
        <is>
          <t>How to use: Health dashboard</t>
        </is>
      </c>
      <c r="B1" s="2" t="n"/>
    </row>
    <row r="2" ht="18" customHeight="1">
      <c r="A2" s="30" t="inlineStr">
        <is>
          <t>Sheetaky.com · Ready Excel sheets in Arabic and English</t>
        </is>
      </c>
      <c r="B2" s="31" t="n"/>
    </row>
    <row r="4" ht="22" customHeight="1">
      <c r="A4" s="32" t="inlineStr">
        <is>
          <t>What is this sheet?</t>
        </is>
      </c>
      <c r="B4" s="33" t="n"/>
    </row>
    <row r="5" ht="30" customHeight="1">
      <c r="A5" s="34" t="inlineStr">
        <is>
          <t>A personal board that turns your daily log (weight, sleep, water, steps, workout, mood) into a daily score, weight trend, weekly summary and the sleep-mood relationship.</t>
        </is>
      </c>
    </row>
    <row r="7" ht="22" customHeight="1">
      <c r="A7" s="32" t="inlineStr">
        <is>
          <t>Steps</t>
        </is>
      </c>
      <c r="B7" s="33" t="n"/>
    </row>
    <row r="8" ht="20" customHeight="1">
      <c r="A8" s="35" t="n">
        <v>1</v>
      </c>
      <c r="B8" s="34" t="inlineStr">
        <is>
          <t>Set your height, targets and first day.</t>
        </is>
      </c>
    </row>
    <row r="9" ht="20" customHeight="1">
      <c r="A9" s="35" t="n">
        <v>2</v>
      </c>
      <c r="B9" s="34" t="inlineStr">
        <is>
          <t>Enter each day numbers in its row.</t>
        </is>
      </c>
    </row>
    <row r="10" ht="20" customHeight="1">
      <c r="A10" s="35" t="n">
        <v>3</v>
      </c>
      <c r="B10" s="34" t="inlineStr">
        <is>
          <t>Review score, streak and the weekly summary.</t>
        </is>
      </c>
    </row>
    <row r="12" ht="22" customHeight="1">
      <c r="A12" s="32" t="inlineStr">
        <is>
          <t>Color legend</t>
        </is>
      </c>
      <c r="B12" s="33" t="n"/>
    </row>
    <row r="13">
      <c r="A13" s="36" t="inlineStr"/>
      <c r="B13" s="34" t="inlineStr">
        <is>
          <t>Input cell: type or choose your value here (blue text on yellow).</t>
        </is>
      </c>
    </row>
    <row r="14">
      <c r="A14" s="37" t="inlineStr"/>
      <c r="B14" s="34" t="inlineStr">
        <is>
          <t>Calculated cell: automatic formula, protected from accidental edits.</t>
        </is>
      </c>
    </row>
    <row r="15">
      <c r="A15" s="38" t="inlineStr"/>
      <c r="B15" s="34" t="inlineStr">
        <is>
          <t>Table and section headers.</t>
        </is>
      </c>
    </row>
    <row r="17" ht="22" customHeight="1">
      <c r="A17" s="32" t="inlineStr">
        <is>
          <t>Important notes</t>
        </is>
      </c>
      <c r="B17" s="33" t="n"/>
    </row>
    <row r="18" ht="20" customHeight="1">
      <c r="A18" s="39" t="inlineStr">
        <is>
          <t>•</t>
        </is>
      </c>
      <c r="B18" s="40" t="inlineStr">
        <is>
          <t>Score = average attainment of the four targets (sleep, water, steps, workout) capped at 100%.</t>
        </is>
      </c>
    </row>
    <row r="19" ht="20" customHeight="1">
      <c r="A19" s="39" t="inlineStr">
        <is>
          <t>•</t>
        </is>
      </c>
      <c r="B19" s="40" t="inlineStr">
        <is>
          <t>BMI = weight ÷ height in metres squared.</t>
        </is>
      </c>
    </row>
    <row r="20" ht="20" customHeight="1">
      <c r="A20" s="39" t="inlineStr">
        <is>
          <t>•</t>
        </is>
      </c>
      <c r="B20" s="40" t="inlineStr">
        <is>
          <t>This is a tracking tool; it does not diagnose and does not replace a doctor.</t>
        </is>
      </c>
    </row>
    <row r="21" ht="30" customHeight="1">
      <c r="A21" s="39" t="inlineStr">
        <is>
          <t>•</t>
        </is>
      </c>
      <c r="B21" s="40" t="inlineStr">
        <is>
          <t>Sheets are protected without a password to keep formulas safe. To unprotect: Review → Unprotect Sheet.</t>
        </is>
      </c>
    </row>
    <row r="22" ht="20" customHeight="1">
      <c r="A22" s="39" t="inlineStr">
        <is>
          <t>•</t>
        </is>
      </c>
      <c r="B22" s="40" t="inlineStr">
        <is>
          <t>The data shown is a worked example. Clear it and type your own data in the yellow cells only.</t>
        </is>
      </c>
    </row>
    <row r="23" ht="20" customHeight="1">
      <c r="A23" s="39" t="inlineStr">
        <is>
          <t>•</t>
        </is>
      </c>
      <c r="B23" s="40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HLT</dc:title>
  <dcterms:created xmlns:dcterms="http://purl.org/dc/terms/" xmlns:xsi="http://www.w3.org/2001/XMLSchema-instance" xsi:type="dcterms:W3CDTF">2026-10-23T13:55:49Z</dcterms:created>
  <dcterms:modified xmlns:dcterms="http://purl.org/dc/terms/" xmlns:xsi="http://www.w3.org/2001/XMLSchema-instance" xsi:type="dcterms:W3CDTF">2026-10-23T13:55:50Z</dcterms:modified>
</cp:coreProperties>
</file>