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دفق النقدي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mmm yyyy"/>
    <numFmt numFmtId="167" formatCode="#,##0;[Red]-#,##0"/>
  </numFmts>
  <fonts count="16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8B6755"/>
      <sz val="9"/>
    </font>
    <font>
      <name val="Tahoma"/>
      <b val="1"/>
      <color rgb="00FFFFFF"/>
      <sz val="10"/>
    </font>
    <font>
      <name val="Tahoma"/>
      <color rgb="003A1D10"/>
      <sz val="10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color rgb="001F4FB5"/>
      <sz val="10"/>
    </font>
    <font>
      <name val="Tahoma"/>
      <color rgb="008B6755"/>
      <sz val="9"/>
    </font>
    <font>
      <name val="Tahoma"/>
      <b val="1"/>
      <color rgb="00FFFFFF"/>
      <sz val="9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EA5E9"/>
      <sz val="10"/>
    </font>
  </fonts>
  <fills count="9">
    <fill>
      <patternFill/>
    </fill>
    <fill>
      <patternFill patternType="gray125"/>
    </fill>
    <fill>
      <patternFill patternType="solid">
        <fgColor rgb="00FDF4EE"/>
      </patternFill>
    </fill>
    <fill>
      <patternFill patternType="solid">
        <fgColor rgb="009A3412"/>
      </patternFill>
    </fill>
    <fill>
      <patternFill patternType="solid">
        <fgColor rgb="000EA5E9"/>
      </patternFill>
    </fill>
    <fill>
      <patternFill patternType="solid">
        <fgColor rgb="00F5DAC5"/>
      </patternFill>
    </fill>
    <fill>
      <patternFill patternType="solid">
        <fgColor rgb="00E0F2FE"/>
      </patternFill>
    </fill>
    <fill>
      <patternFill patternType="solid">
        <fgColor rgb="00F8E3D5"/>
      </patternFill>
    </fill>
    <fill>
      <patternFill patternType="solid">
        <fgColor rgb="007C2D12"/>
      </patternFill>
    </fill>
  </fills>
  <borders count="7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left/>
      <right/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 style="thin">
        <color rgb="00E6C3AB"/>
      </bottom>
      <diagonal/>
    </border>
    <border>
      <top style="medium">
        <color rgb="000EA5E9"/>
      </top>
    </border>
    <border/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9" fillId="8" borderId="5" applyAlignment="1" pivotButton="0" quotePrefix="0" xfId="0">
      <alignment horizontal="center" vertical="center" wrapText="1" readingOrder="2"/>
    </xf>
    <xf numFmtId="0" fontId="0" fillId="8" borderId="5" pivotButton="0" quotePrefix="0" xfId="0"/>
    <xf numFmtId="0" fontId="11" fillId="5" borderId="5" applyAlignment="1" pivotButton="0" quotePrefix="0" xfId="0">
      <alignment horizontal="center" vertical="center" wrapText="1" readingOrder="2"/>
    </xf>
    <xf numFmtId="0" fontId="0" fillId="5" borderId="5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3" fontId="10" fillId="3" borderId="6" applyAlignment="1" pivotButton="0" quotePrefix="0" xfId="0">
      <alignment horizontal="center" vertical="center" wrapText="1" readingOrder="2"/>
    </xf>
    <xf numFmtId="0" fontId="0" fillId="3" borderId="6" pivotButton="0" quotePrefix="0" xfId="0"/>
    <xf numFmtId="1" fontId="12" fillId="7" borderId="6" applyAlignment="1" pivotButton="0" quotePrefix="0" xfId="0">
      <alignment horizontal="center" vertical="center" wrapText="1" readingOrder="2"/>
    </xf>
    <xf numFmtId="0" fontId="0" fillId="7" borderId="6" pivotButton="0" quotePrefix="0" xfId="0"/>
    <xf numFmtId="0" fontId="4" fillId="0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3" fontId="7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2" borderId="1" applyAlignment="1" pivotButton="0" quotePrefix="0" xfId="0">
      <alignment horizontal="center" vertical="center" wrapText="1" readingOrder="2"/>
    </xf>
    <xf numFmtId="1" fontId="7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1" applyAlignment="1" pivotButton="0" quotePrefix="0" xfId="0">
      <alignment horizontal="center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9" fontId="7" fillId="6" borderId="1" applyAlignment="1" applyProtection="1" pivotButton="0" quotePrefix="0" xfId="0">
      <alignment horizontal="center" vertical="center" wrapText="1" readingOrder="2"/>
      <protection locked="0" hidden="0"/>
    </xf>
    <xf numFmtId="3" fontId="6" fillId="7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center" vertical="center" wrapText="1" readingOrder="2"/>
    </xf>
    <xf numFmtId="164" fontId="7" fillId="6" borderId="1" applyAlignment="1" applyProtection="1" pivotButton="0" quotePrefix="0" xfId="0">
      <alignment horizontal="center" vertical="center" wrapText="1" readingOrder="2"/>
      <protection locked="0" hidden="0"/>
    </xf>
    <xf numFmtId="0" fontId="7" fillId="6" borderId="1" applyAlignment="1" applyProtection="1" pivotButton="0" quotePrefix="0" xfId="0">
      <alignment horizontal="center" vertical="center" wrapText="1" readingOrder="2"/>
      <protection locked="0" hidden="0"/>
    </xf>
    <xf numFmtId="165" fontId="7" fillId="6" borderId="1" applyAlignment="1" applyProtection="1" pivotButton="0" quotePrefix="0" xfId="0">
      <alignment horizontal="center" vertical="center" wrapText="1" readingOrder="2"/>
      <protection locked="0" hidden="0"/>
    </xf>
    <xf numFmtId="0" fontId="2" fillId="2" borderId="0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6" fillId="0" borderId="1" applyAlignment="1" pivotButton="0" quotePrefix="0" xfId="0">
      <alignment horizontal="center" vertical="center" wrapText="1" readingOrder="2"/>
    </xf>
    <xf numFmtId="166" fontId="4" fillId="7" borderId="1" applyAlignment="1" pivotButton="0" quotePrefix="0" xfId="0">
      <alignment horizontal="center" vertical="center" wrapText="1" readingOrder="2"/>
    </xf>
    <xf numFmtId="1" fontId="4" fillId="0" borderId="1" applyAlignment="1" pivotButton="0" quotePrefix="0" xfId="0">
      <alignment horizontal="center" vertical="center" wrapText="1" readingOrder="2"/>
    </xf>
    <xf numFmtId="9" fontId="4" fillId="7" borderId="1" applyAlignment="1" pivotButton="0" quotePrefix="0" xfId="0">
      <alignment horizontal="center" vertical="center" wrapText="1" readingOrder="2"/>
    </xf>
    <xf numFmtId="167" fontId="4" fillId="7" borderId="1" applyAlignment="1" pivotButton="0" quotePrefix="0" xfId="0">
      <alignment horizontal="center" vertical="center" wrapText="1" readingOrder="2"/>
    </xf>
    <xf numFmtId="164" fontId="4" fillId="7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7" fillId="6" borderId="1" applyAlignment="1" applyProtection="1" pivotButton="0" quotePrefix="0" xfId="0">
      <alignment horizontal="right" vertical="center" wrapText="1" readingOrder="2"/>
      <protection locked="0" hidden="0"/>
    </xf>
    <xf numFmtId="0" fontId="4" fillId="7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Tahoma"/>
        <color rgb="003A1D10"/>
      </font>
      <fill>
        <patternFill patternType="solid">
          <fgColor rgb="00F4C7C3"/>
        </patternFill>
      </fill>
    </dxf>
    <dxf>
      <font>
        <name val="Tahoma"/>
        <color rgb="003A1D10"/>
      </font>
      <fill>
        <patternFill patternType="solid">
          <fgColor rgb="00B7E1A1"/>
        </patternFill>
      </fill>
    </dxf>
    <dxf>
      <font>
        <name val="Tahoma"/>
        <color rgb="00999999"/>
      </font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النقدي التراكمي (ريال)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'التدفق النقدي'!$A$24:$A$48</f>
            </numRef>
          </cat>
          <val>
            <numRef>
              <f>'التدفق النقدي'!$P$24:$P$48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المستخلص الشهري (ريال)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'التدفق النقدي'!$A$25:$A$48</f>
            </numRef>
          </cat>
          <val>
            <numRef>
              <f>'التدفق النقدي'!$G$25:$G$48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62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62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R60"/>
  <sheetViews>
    <sheetView showGridLines="0" rightToLeft="1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8" customWidth="1" min="3" max="3"/>
    <col width="3" customWidth="1" min="4" max="4"/>
    <col width="8" customWidth="1" min="5" max="5"/>
    <col width="12" customWidth="1" min="6" max="6"/>
    <col width="11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3" customWidth="1" min="16" max="16"/>
    <col width="3" customWidth="1" min="17" max="17"/>
    <col width="16" customWidth="1" min="18" max="18"/>
  </cols>
  <sheetData>
    <row r="1" ht="40" customHeight="1">
      <c r="A1" s="1" t="inlineStr">
        <is>
          <t>التدفق النقدي للعقد والمستخلصات: الدفعة المقدمة والمحتجزات وأقصى تمويل مطلوب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أدخل قيمة العقد ومدته ومنحنى التنفيذ فيرسم الشيت المستخلصات الشهرية وما تقبضه وما تدفعه وأقصى رأس مال عامل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5" ht="18" customHeight="1">
      <c r="A5" s="5" t="n"/>
      <c r="B5" s="5" t="n"/>
      <c r="C5" s="5" t="n"/>
      <c r="D5" s="5" t="n"/>
      <c r="E5" s="6" t="inlineStr">
        <is>
          <t>أقصى تمويل مطلوب (ريال)</t>
        </is>
      </c>
      <c r="F5" s="7" t="n"/>
      <c r="G5" s="7" t="n"/>
      <c r="H5" s="7" t="n"/>
      <c r="I5" s="8" t="inlineStr">
        <is>
          <t>شهر أقصى عجز</t>
        </is>
      </c>
      <c r="J5" s="9" t="n"/>
      <c r="K5" s="9" t="n"/>
      <c r="L5" s="9" t="n"/>
      <c r="M5" s="6" t="inlineStr">
        <is>
          <t>تكلفة التمويل (ريال)</t>
        </is>
      </c>
      <c r="N5" s="7" t="n"/>
      <c r="O5" s="7" t="n"/>
      <c r="P5" s="7" t="n"/>
      <c r="R5" s="10" t="inlineStr">
        <is>
          <t>المنحنى</t>
        </is>
      </c>
    </row>
    <row r="6" ht="34" customHeight="1">
      <c r="A6" s="11" t="inlineStr">
        <is>
          <t>بيانات العقد</t>
        </is>
      </c>
      <c r="B6" s="12" t="n"/>
      <c r="C6" s="12" t="n"/>
      <c r="D6" s="5" t="n"/>
      <c r="E6" s="13">
        <f>MAX(0,-MIN($P$24:$P$60))</f>
        <v/>
      </c>
      <c r="F6" s="14" t="n"/>
      <c r="G6" s="14" t="n"/>
      <c r="H6" s="14" t="n"/>
      <c r="I6" s="15">
        <f>IF(MIN($P$24:$P$60)&lt;0,MATCH(MIN($P$24:$P$60),$P$24:$P$60,0)-1,0)</f>
        <v/>
      </c>
      <c r="J6" s="16" t="n"/>
      <c r="K6" s="16" t="n"/>
      <c r="L6" s="16" t="n"/>
      <c r="M6" s="13">
        <f>SUMPRODUCT(($P$24:$P$60&lt;0)*(-$P$24:$P$60))*$B$17/12</f>
        <v/>
      </c>
      <c r="N6" s="14" t="n"/>
      <c r="O6" s="14" t="n"/>
      <c r="P6" s="14" t="n"/>
      <c r="R6" s="17" t="inlineStr">
        <is>
          <t>خطي</t>
        </is>
      </c>
    </row>
    <row r="7">
      <c r="A7" s="18" t="inlineStr">
        <is>
          <t>قيمة العقد قبل الضريبة</t>
        </is>
      </c>
      <c r="B7" s="19" t="n">
        <v>4500000</v>
      </c>
      <c r="C7" s="20" t="inlineStr">
        <is>
          <t>SAR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R7" s="17" t="inlineStr">
        <is>
          <t>منحنى S</t>
        </is>
      </c>
    </row>
    <row r="8">
      <c r="A8" s="18" t="inlineStr">
        <is>
          <t>مدة التنفيذ (شهر، حتى 24)</t>
        </is>
      </c>
      <c r="B8" s="21" t="n">
        <v>14</v>
      </c>
      <c r="C8" s="20" t="inlineStr">
        <is>
          <t>mo</t>
        </is>
      </c>
      <c r="D8" s="5" t="n"/>
      <c r="E8" s="22" t="inlineStr">
        <is>
          <t>إجمالي المستخلصات مع الضريبة</t>
        </is>
      </c>
      <c r="I8" s="23">
        <f>SUM($G$24:$G$60)*(1+$B$13)</f>
        <v/>
      </c>
      <c r="M8" s="5" t="n"/>
      <c r="N8" s="5" t="n"/>
      <c r="O8" s="5" t="n"/>
      <c r="P8" s="5" t="n"/>
      <c r="R8" s="17" t="inlineStr">
        <is>
          <t>مبكر التنفيذ</t>
        </is>
      </c>
    </row>
    <row r="9">
      <c r="A9" s="18" t="inlineStr">
        <is>
          <t>الدفعة المقدمة</t>
        </is>
      </c>
      <c r="B9" s="24" t="n">
        <v>0.1</v>
      </c>
      <c r="C9" s="5" t="n"/>
      <c r="D9" s="5" t="n"/>
      <c r="E9" s="22" t="inlineStr">
        <is>
          <t>الربح المتوقع قبل التمويل</t>
        </is>
      </c>
      <c r="I9" s="23">
        <f>$B$7*(1-$B$15)</f>
        <v/>
      </c>
      <c r="M9" s="5" t="n"/>
      <c r="N9" s="5" t="n"/>
      <c r="O9" s="5" t="n"/>
      <c r="P9" s="5" t="n"/>
      <c r="R9" s="17" t="inlineStr">
        <is>
          <t>متأخر التنفيذ</t>
        </is>
      </c>
    </row>
    <row r="10">
      <c r="A10" s="18" t="inlineStr">
        <is>
          <t>نسبة المحتجز من كل مستخلص</t>
        </is>
      </c>
      <c r="B10" s="24" t="n">
        <v>0.1</v>
      </c>
      <c r="C10" s="5" t="n"/>
      <c r="D10" s="5" t="n"/>
      <c r="E10" s="22" t="inlineStr">
        <is>
          <t>الربح بعد التمويل</t>
        </is>
      </c>
      <c r="I10" s="25">
        <f>I9-M6</f>
        <v/>
      </c>
      <c r="M10" s="5" t="n"/>
      <c r="N10" s="5" t="n"/>
      <c r="O10" s="5" t="n"/>
      <c r="P10" s="5" t="n"/>
    </row>
    <row r="11">
      <c r="A11" s="18" t="inlineStr">
        <is>
          <t>سقف المحتجز من قيمة العقد</t>
        </is>
      </c>
      <c r="B11" s="24" t="n">
        <v>0.05</v>
      </c>
      <c r="C11" s="5" t="n"/>
      <c r="D11" s="5" t="n"/>
      <c r="E11" s="22" t="inlineStr">
        <is>
          <t>إجمالي المحتجز</t>
        </is>
      </c>
      <c r="I11" s="23">
        <f>SUM($I$24:$I$60)</f>
        <v/>
      </c>
      <c r="M11" s="5" t="n"/>
      <c r="N11" s="5" t="n"/>
      <c r="O11" s="5" t="n"/>
      <c r="P11" s="5" t="n"/>
    </row>
    <row r="12">
      <c r="A12" s="18" t="inlineStr">
        <is>
          <t>فترة الصيانة (شهر) لإفراج المحتجز</t>
        </is>
      </c>
      <c r="B12" s="21" t="n">
        <v>12</v>
      </c>
      <c r="C12" s="20" t="inlineStr">
        <is>
          <t>mo</t>
        </is>
      </c>
      <c r="D12" s="5" t="n"/>
      <c r="E12" s="22" t="inlineStr">
        <is>
          <t>فحص</t>
        </is>
      </c>
      <c r="I12" s="26">
        <f>IF(ABS(SUM($F$24:$F$60)-1)&lt;0.0001,"مجموع التنفيذ 100%","راجع المدة")</f>
        <v/>
      </c>
    </row>
    <row r="13">
      <c r="A13" s="18" t="inlineStr">
        <is>
          <t>ضريبة القيمة المضافة</t>
        </is>
      </c>
      <c r="B13" s="24" t="n">
        <v>0.15</v>
      </c>
      <c r="C13" s="5" t="n"/>
      <c r="D13" s="5" t="n"/>
      <c r="E13" s="22" t="inlineStr">
        <is>
          <t>إجمالي المقبوض دون ضريبة</t>
        </is>
      </c>
      <c r="I13" s="23">
        <f>SUM($M$24:$M$60)</f>
        <v/>
      </c>
      <c r="M13" s="5" t="n"/>
      <c r="N13" s="5" t="n"/>
      <c r="O13" s="5" t="n"/>
      <c r="P13" s="5" t="n"/>
    </row>
    <row r="14">
      <c r="A14" s="18" t="inlineStr">
        <is>
          <t>تأخر قبض المستخلص (شهر)</t>
        </is>
      </c>
      <c r="B14" s="21" t="n">
        <v>2</v>
      </c>
      <c r="C14" s="20" t="inlineStr">
        <is>
          <t>mo</t>
        </is>
      </c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18" t="inlineStr">
        <is>
          <t>تكلفة المقاول من قيمة العقد</t>
        </is>
      </c>
      <c r="B15" s="24" t="n">
        <v>0.86</v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18" t="inlineStr">
        <is>
          <t>تأخر دفع التكاليف (شهر)</t>
        </is>
      </c>
      <c r="B16" s="21" t="n">
        <v>1</v>
      </c>
      <c r="C16" s="20" t="inlineStr">
        <is>
          <t>mo</t>
        </is>
      </c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18" t="inlineStr">
        <is>
          <t>معدل تمويل سنوي</t>
        </is>
      </c>
      <c r="B17" s="27" t="n">
        <v>0.08</v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18" t="inlineStr">
        <is>
          <t>منحنى التنفيذ</t>
        </is>
      </c>
      <c r="B18" s="28" t="inlineStr">
        <is>
          <t>منحنى S</t>
        </is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18" t="inlineStr">
        <is>
          <t>تاريخ البدء</t>
        </is>
      </c>
      <c r="B19" s="29" t="n">
        <v>46327</v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 ht="28" customHeight="1">
      <c r="A20" s="30" t="inlineStr">
        <is>
          <t>ضريبة القيمة المضافة والنسب أمثلة؛ راجع العقد والأنظمة المحلية.</t>
        </is>
      </c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2" ht="22" customHeight="1">
      <c r="A22" s="11" t="inlineStr">
        <is>
          <t>الجدول الشهري</t>
        </is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 ht="40" customHeight="1">
      <c r="A23" s="10" t="inlineStr">
        <is>
          <t>الشهر</t>
        </is>
      </c>
      <c r="B23" s="10" t="inlineStr">
        <is>
          <t>التاريخ</t>
        </is>
      </c>
      <c r="C23" s="10" t="inlineStr">
        <is>
          <t>#</t>
        </is>
      </c>
      <c r="D23" s="31" t="n"/>
      <c r="E23" s="10" t="inlineStr">
        <is>
          <t>تراكمي %</t>
        </is>
      </c>
      <c r="F23" s="10" t="inlineStr">
        <is>
          <t>الشهري %</t>
        </is>
      </c>
      <c r="G23" s="10" t="inlineStr">
        <is>
          <t>المستخلص</t>
        </is>
      </c>
      <c r="H23" s="10" t="inlineStr">
        <is>
          <t>استرداد الدفعة</t>
        </is>
      </c>
      <c r="I23" s="10" t="inlineStr">
        <is>
          <t>محتجز</t>
        </is>
      </c>
      <c r="J23" s="10" t="inlineStr">
        <is>
          <t>إفراج محتجز</t>
        </is>
      </c>
      <c r="K23" s="10" t="inlineStr">
        <is>
          <t>الصافي</t>
        </is>
      </c>
      <c r="L23" s="10" t="inlineStr">
        <is>
          <t>الضريبة</t>
        </is>
      </c>
      <c r="M23" s="10" t="inlineStr">
        <is>
          <t>تحصيل (دون ضريبة)</t>
        </is>
      </c>
      <c r="N23" s="10" t="inlineStr">
        <is>
          <t>مدفوعات التكلفة</t>
        </is>
      </c>
      <c r="O23" s="10" t="inlineStr">
        <is>
          <t>صافي نقدي</t>
        </is>
      </c>
      <c r="P23" s="10" t="inlineStr">
        <is>
          <t>رصيد تراكمي</t>
        </is>
      </c>
    </row>
    <row r="24">
      <c r="A24" s="32">
        <f>IF(0=0,"بداية","شهر 0")</f>
        <v/>
      </c>
      <c r="B24" s="33">
        <f>DATE(YEAR($B$19),MONTH($B$19)+0,1)</f>
        <v/>
      </c>
      <c r="C24" s="34" t="n">
        <v>0</v>
      </c>
      <c r="D24" s="31" t="n"/>
      <c r="E24" s="35" t="n">
        <v>0</v>
      </c>
      <c r="F24" s="35" t="n">
        <v>0</v>
      </c>
      <c r="G24" s="23" t="n">
        <v>0</v>
      </c>
      <c r="H24" s="23" t="n">
        <v>0</v>
      </c>
      <c r="I24" s="23" t="n">
        <v>0</v>
      </c>
      <c r="J24" s="23" t="n">
        <v>0</v>
      </c>
      <c r="K24" s="23" t="n">
        <v>0</v>
      </c>
      <c r="L24" s="23" t="n">
        <v>0</v>
      </c>
      <c r="M24" s="23">
        <f>$B$7*$B$9</f>
        <v/>
      </c>
      <c r="N24" s="23" t="n">
        <v>0</v>
      </c>
      <c r="O24" s="36">
        <f>M24-N24</f>
        <v/>
      </c>
      <c r="P24" s="36">
        <f>O24</f>
        <v/>
      </c>
    </row>
    <row r="25">
      <c r="A25" s="32">
        <f>IF(1=0,"بداية","شهر 1")</f>
        <v/>
      </c>
      <c r="B25" s="33">
        <f>DATE(YEAR($B$19),MONTH($B$19)+1,1)</f>
        <v/>
      </c>
      <c r="C25" s="34" t="n">
        <v>1</v>
      </c>
      <c r="D25" s="31" t="n"/>
      <c r="E25" s="35">
        <f>IF(1&gt;$B$8,1,CHOOSE(MATCH($B$18,$R$6:$R$9,0),(1/$B$8),3*(1/$B$8)^2-2*(1/$B$8)^3,1-(1-(1/$B$8))^1.6,(1/$B$8)^1.6))</f>
        <v/>
      </c>
      <c r="F25" s="37">
        <f>E25-E24</f>
        <v/>
      </c>
      <c r="G25" s="23">
        <f>F25*$B$7</f>
        <v/>
      </c>
      <c r="H25" s="23">
        <f>F25*$B$7*$B$9</f>
        <v/>
      </c>
      <c r="I25" s="23">
        <f>MIN(G25*$B$10,$B$7*$B$11-SUM(I$24:I24))</f>
        <v/>
      </c>
      <c r="J25" s="23">
        <f>IF(1=$B$8+$B$12,SUM(I$24:I24),0)</f>
        <v/>
      </c>
      <c r="K25" s="23">
        <f>G25-H25-I25+J25</f>
        <v/>
      </c>
      <c r="L25" s="23">
        <f>K25*$B$13</f>
        <v/>
      </c>
      <c r="M25" s="23">
        <f>IF(1-$B$14&gt;=1,INDEX($K$24:$K$60,1-$B$14+1),0)</f>
        <v/>
      </c>
      <c r="N25" s="23">
        <f>IF(1-$B$16&gt;=1,INDEX($F$24:$F$60,1-$B$16+1)*$B$7*$B$15,0)</f>
        <v/>
      </c>
      <c r="O25" s="36">
        <f>M25-N25</f>
        <v/>
      </c>
      <c r="P25" s="36">
        <f>P24+O25</f>
        <v/>
      </c>
    </row>
    <row r="26">
      <c r="A26" s="32">
        <f>IF(2=0,"بداية","شهر 2")</f>
        <v/>
      </c>
      <c r="B26" s="33">
        <f>DATE(YEAR($B$19),MONTH($B$19)+2,1)</f>
        <v/>
      </c>
      <c r="C26" s="34" t="n">
        <v>2</v>
      </c>
      <c r="D26" s="31" t="n"/>
      <c r="E26" s="35">
        <f>IF(2&gt;$B$8,1,CHOOSE(MATCH($B$18,$R$6:$R$9,0),(2/$B$8),3*(2/$B$8)^2-2*(2/$B$8)^3,1-(1-(2/$B$8))^1.6,(2/$B$8)^1.6))</f>
        <v/>
      </c>
      <c r="F26" s="37">
        <f>E26-E25</f>
        <v/>
      </c>
      <c r="G26" s="23">
        <f>F26*$B$7</f>
        <v/>
      </c>
      <c r="H26" s="23">
        <f>F26*$B$7*$B$9</f>
        <v/>
      </c>
      <c r="I26" s="23">
        <f>MIN(G26*$B$10,$B$7*$B$11-SUM(I$24:I25))</f>
        <v/>
      </c>
      <c r="J26" s="23">
        <f>IF(2=$B$8+$B$12,SUM(I$24:I25),0)</f>
        <v/>
      </c>
      <c r="K26" s="23">
        <f>G26-H26-I26+J26</f>
        <v/>
      </c>
      <c r="L26" s="23">
        <f>K26*$B$13</f>
        <v/>
      </c>
      <c r="M26" s="23">
        <f>IF(2-$B$14&gt;=1,INDEX($K$24:$K$60,2-$B$14+1),0)</f>
        <v/>
      </c>
      <c r="N26" s="23">
        <f>IF(2-$B$16&gt;=1,INDEX($F$24:$F$60,2-$B$16+1)*$B$7*$B$15,0)</f>
        <v/>
      </c>
      <c r="O26" s="36">
        <f>M26-N26</f>
        <v/>
      </c>
      <c r="P26" s="36">
        <f>P25+O26</f>
        <v/>
      </c>
    </row>
    <row r="27">
      <c r="A27" s="32">
        <f>IF(3=0,"بداية","شهر 3")</f>
        <v/>
      </c>
      <c r="B27" s="33">
        <f>DATE(YEAR($B$19),MONTH($B$19)+3,1)</f>
        <v/>
      </c>
      <c r="C27" s="34" t="n">
        <v>3</v>
      </c>
      <c r="D27" s="31" t="n"/>
      <c r="E27" s="35">
        <f>IF(3&gt;$B$8,1,CHOOSE(MATCH($B$18,$R$6:$R$9,0),(3/$B$8),3*(3/$B$8)^2-2*(3/$B$8)^3,1-(1-(3/$B$8))^1.6,(3/$B$8)^1.6))</f>
        <v/>
      </c>
      <c r="F27" s="37">
        <f>E27-E26</f>
        <v/>
      </c>
      <c r="G27" s="23">
        <f>F27*$B$7</f>
        <v/>
      </c>
      <c r="H27" s="23">
        <f>F27*$B$7*$B$9</f>
        <v/>
      </c>
      <c r="I27" s="23">
        <f>MIN(G27*$B$10,$B$7*$B$11-SUM(I$24:I26))</f>
        <v/>
      </c>
      <c r="J27" s="23">
        <f>IF(3=$B$8+$B$12,SUM(I$24:I26),0)</f>
        <v/>
      </c>
      <c r="K27" s="23">
        <f>G27-H27-I27+J27</f>
        <v/>
      </c>
      <c r="L27" s="23">
        <f>K27*$B$13</f>
        <v/>
      </c>
      <c r="M27" s="23">
        <f>IF(3-$B$14&gt;=1,INDEX($K$24:$K$60,3-$B$14+1),0)</f>
        <v/>
      </c>
      <c r="N27" s="23">
        <f>IF(3-$B$16&gt;=1,INDEX($F$24:$F$60,3-$B$16+1)*$B$7*$B$15,0)</f>
        <v/>
      </c>
      <c r="O27" s="36">
        <f>M27-N27</f>
        <v/>
      </c>
      <c r="P27" s="36">
        <f>P26+O27</f>
        <v/>
      </c>
    </row>
    <row r="28">
      <c r="A28" s="32">
        <f>IF(4=0,"بداية","شهر 4")</f>
        <v/>
      </c>
      <c r="B28" s="33">
        <f>DATE(YEAR($B$19),MONTH($B$19)+4,1)</f>
        <v/>
      </c>
      <c r="C28" s="34" t="n">
        <v>4</v>
      </c>
      <c r="D28" s="31" t="n"/>
      <c r="E28" s="35">
        <f>IF(4&gt;$B$8,1,CHOOSE(MATCH($B$18,$R$6:$R$9,0),(4/$B$8),3*(4/$B$8)^2-2*(4/$B$8)^3,1-(1-(4/$B$8))^1.6,(4/$B$8)^1.6))</f>
        <v/>
      </c>
      <c r="F28" s="37">
        <f>E28-E27</f>
        <v/>
      </c>
      <c r="G28" s="23">
        <f>F28*$B$7</f>
        <v/>
      </c>
      <c r="H28" s="23">
        <f>F28*$B$7*$B$9</f>
        <v/>
      </c>
      <c r="I28" s="23">
        <f>MIN(G28*$B$10,$B$7*$B$11-SUM(I$24:I27))</f>
        <v/>
      </c>
      <c r="J28" s="23">
        <f>IF(4=$B$8+$B$12,SUM(I$24:I27),0)</f>
        <v/>
      </c>
      <c r="K28" s="23">
        <f>G28-H28-I28+J28</f>
        <v/>
      </c>
      <c r="L28" s="23">
        <f>K28*$B$13</f>
        <v/>
      </c>
      <c r="M28" s="23">
        <f>IF(4-$B$14&gt;=1,INDEX($K$24:$K$60,4-$B$14+1),0)</f>
        <v/>
      </c>
      <c r="N28" s="23">
        <f>IF(4-$B$16&gt;=1,INDEX($F$24:$F$60,4-$B$16+1)*$B$7*$B$15,0)</f>
        <v/>
      </c>
      <c r="O28" s="36">
        <f>M28-N28</f>
        <v/>
      </c>
      <c r="P28" s="36">
        <f>P27+O28</f>
        <v/>
      </c>
    </row>
    <row r="29">
      <c r="A29" s="32">
        <f>IF(5=0,"بداية","شهر 5")</f>
        <v/>
      </c>
      <c r="B29" s="33">
        <f>DATE(YEAR($B$19),MONTH($B$19)+5,1)</f>
        <v/>
      </c>
      <c r="C29" s="34" t="n">
        <v>5</v>
      </c>
      <c r="D29" s="31" t="n"/>
      <c r="E29" s="35">
        <f>IF(5&gt;$B$8,1,CHOOSE(MATCH($B$18,$R$6:$R$9,0),(5/$B$8),3*(5/$B$8)^2-2*(5/$B$8)^3,1-(1-(5/$B$8))^1.6,(5/$B$8)^1.6))</f>
        <v/>
      </c>
      <c r="F29" s="37">
        <f>E29-E28</f>
        <v/>
      </c>
      <c r="G29" s="23">
        <f>F29*$B$7</f>
        <v/>
      </c>
      <c r="H29" s="23">
        <f>F29*$B$7*$B$9</f>
        <v/>
      </c>
      <c r="I29" s="23">
        <f>MIN(G29*$B$10,$B$7*$B$11-SUM(I$24:I28))</f>
        <v/>
      </c>
      <c r="J29" s="23">
        <f>IF(5=$B$8+$B$12,SUM(I$24:I28),0)</f>
        <v/>
      </c>
      <c r="K29" s="23">
        <f>G29-H29-I29+J29</f>
        <v/>
      </c>
      <c r="L29" s="23">
        <f>K29*$B$13</f>
        <v/>
      </c>
      <c r="M29" s="23">
        <f>IF(5-$B$14&gt;=1,INDEX($K$24:$K$60,5-$B$14+1),0)</f>
        <v/>
      </c>
      <c r="N29" s="23">
        <f>IF(5-$B$16&gt;=1,INDEX($F$24:$F$60,5-$B$16+1)*$B$7*$B$15,0)</f>
        <v/>
      </c>
      <c r="O29" s="36">
        <f>M29-N29</f>
        <v/>
      </c>
      <c r="P29" s="36">
        <f>P28+O29</f>
        <v/>
      </c>
    </row>
    <row r="30">
      <c r="A30" s="32">
        <f>IF(6=0,"بداية","شهر 6")</f>
        <v/>
      </c>
      <c r="B30" s="33">
        <f>DATE(YEAR($B$19),MONTH($B$19)+6,1)</f>
        <v/>
      </c>
      <c r="C30" s="34" t="n">
        <v>6</v>
      </c>
      <c r="D30" s="31" t="n"/>
      <c r="E30" s="35">
        <f>IF(6&gt;$B$8,1,CHOOSE(MATCH($B$18,$R$6:$R$9,0),(6/$B$8),3*(6/$B$8)^2-2*(6/$B$8)^3,1-(1-(6/$B$8))^1.6,(6/$B$8)^1.6))</f>
        <v/>
      </c>
      <c r="F30" s="37">
        <f>E30-E29</f>
        <v/>
      </c>
      <c r="G30" s="23">
        <f>F30*$B$7</f>
        <v/>
      </c>
      <c r="H30" s="23">
        <f>F30*$B$7*$B$9</f>
        <v/>
      </c>
      <c r="I30" s="23">
        <f>MIN(G30*$B$10,$B$7*$B$11-SUM(I$24:I29))</f>
        <v/>
      </c>
      <c r="J30" s="23">
        <f>IF(6=$B$8+$B$12,SUM(I$24:I29),0)</f>
        <v/>
      </c>
      <c r="K30" s="23">
        <f>G30-H30-I30+J30</f>
        <v/>
      </c>
      <c r="L30" s="23">
        <f>K30*$B$13</f>
        <v/>
      </c>
      <c r="M30" s="23">
        <f>IF(6-$B$14&gt;=1,INDEX($K$24:$K$60,6-$B$14+1),0)</f>
        <v/>
      </c>
      <c r="N30" s="23">
        <f>IF(6-$B$16&gt;=1,INDEX($F$24:$F$60,6-$B$16+1)*$B$7*$B$15,0)</f>
        <v/>
      </c>
      <c r="O30" s="36">
        <f>M30-N30</f>
        <v/>
      </c>
      <c r="P30" s="36">
        <f>P29+O30</f>
        <v/>
      </c>
    </row>
    <row r="31">
      <c r="A31" s="32">
        <f>IF(7=0,"بداية","شهر 7")</f>
        <v/>
      </c>
      <c r="B31" s="33">
        <f>DATE(YEAR($B$19),MONTH($B$19)+7,1)</f>
        <v/>
      </c>
      <c r="C31" s="34" t="n">
        <v>7</v>
      </c>
      <c r="D31" s="31" t="n"/>
      <c r="E31" s="35">
        <f>IF(7&gt;$B$8,1,CHOOSE(MATCH($B$18,$R$6:$R$9,0),(7/$B$8),3*(7/$B$8)^2-2*(7/$B$8)^3,1-(1-(7/$B$8))^1.6,(7/$B$8)^1.6))</f>
        <v/>
      </c>
      <c r="F31" s="37">
        <f>E31-E30</f>
        <v/>
      </c>
      <c r="G31" s="23">
        <f>F31*$B$7</f>
        <v/>
      </c>
      <c r="H31" s="23">
        <f>F31*$B$7*$B$9</f>
        <v/>
      </c>
      <c r="I31" s="23">
        <f>MIN(G31*$B$10,$B$7*$B$11-SUM(I$24:I30))</f>
        <v/>
      </c>
      <c r="J31" s="23">
        <f>IF(7=$B$8+$B$12,SUM(I$24:I30),0)</f>
        <v/>
      </c>
      <c r="K31" s="23">
        <f>G31-H31-I31+J31</f>
        <v/>
      </c>
      <c r="L31" s="23">
        <f>K31*$B$13</f>
        <v/>
      </c>
      <c r="M31" s="23">
        <f>IF(7-$B$14&gt;=1,INDEX($K$24:$K$60,7-$B$14+1),0)</f>
        <v/>
      </c>
      <c r="N31" s="23">
        <f>IF(7-$B$16&gt;=1,INDEX($F$24:$F$60,7-$B$16+1)*$B$7*$B$15,0)</f>
        <v/>
      </c>
      <c r="O31" s="36">
        <f>M31-N31</f>
        <v/>
      </c>
      <c r="P31" s="36">
        <f>P30+O31</f>
        <v/>
      </c>
    </row>
    <row r="32">
      <c r="A32" s="32">
        <f>IF(8=0,"بداية","شهر 8")</f>
        <v/>
      </c>
      <c r="B32" s="33">
        <f>DATE(YEAR($B$19),MONTH($B$19)+8,1)</f>
        <v/>
      </c>
      <c r="C32" s="34" t="n">
        <v>8</v>
      </c>
      <c r="D32" s="31" t="n"/>
      <c r="E32" s="35">
        <f>IF(8&gt;$B$8,1,CHOOSE(MATCH($B$18,$R$6:$R$9,0),(8/$B$8),3*(8/$B$8)^2-2*(8/$B$8)^3,1-(1-(8/$B$8))^1.6,(8/$B$8)^1.6))</f>
        <v/>
      </c>
      <c r="F32" s="37">
        <f>E32-E31</f>
        <v/>
      </c>
      <c r="G32" s="23">
        <f>F32*$B$7</f>
        <v/>
      </c>
      <c r="H32" s="23">
        <f>F32*$B$7*$B$9</f>
        <v/>
      </c>
      <c r="I32" s="23">
        <f>MIN(G32*$B$10,$B$7*$B$11-SUM(I$24:I31))</f>
        <v/>
      </c>
      <c r="J32" s="23">
        <f>IF(8=$B$8+$B$12,SUM(I$24:I31),0)</f>
        <v/>
      </c>
      <c r="K32" s="23">
        <f>G32-H32-I32+J32</f>
        <v/>
      </c>
      <c r="L32" s="23">
        <f>K32*$B$13</f>
        <v/>
      </c>
      <c r="M32" s="23">
        <f>IF(8-$B$14&gt;=1,INDEX($K$24:$K$60,8-$B$14+1),0)</f>
        <v/>
      </c>
      <c r="N32" s="23">
        <f>IF(8-$B$16&gt;=1,INDEX($F$24:$F$60,8-$B$16+1)*$B$7*$B$15,0)</f>
        <v/>
      </c>
      <c r="O32" s="36">
        <f>M32-N32</f>
        <v/>
      </c>
      <c r="P32" s="36">
        <f>P31+O32</f>
        <v/>
      </c>
    </row>
    <row r="33">
      <c r="A33" s="32">
        <f>IF(9=0,"بداية","شهر 9")</f>
        <v/>
      </c>
      <c r="B33" s="33">
        <f>DATE(YEAR($B$19),MONTH($B$19)+9,1)</f>
        <v/>
      </c>
      <c r="C33" s="34" t="n">
        <v>9</v>
      </c>
      <c r="D33" s="31" t="n"/>
      <c r="E33" s="35">
        <f>IF(9&gt;$B$8,1,CHOOSE(MATCH($B$18,$R$6:$R$9,0),(9/$B$8),3*(9/$B$8)^2-2*(9/$B$8)^3,1-(1-(9/$B$8))^1.6,(9/$B$8)^1.6))</f>
        <v/>
      </c>
      <c r="F33" s="37">
        <f>E33-E32</f>
        <v/>
      </c>
      <c r="G33" s="23">
        <f>F33*$B$7</f>
        <v/>
      </c>
      <c r="H33" s="23">
        <f>F33*$B$7*$B$9</f>
        <v/>
      </c>
      <c r="I33" s="23">
        <f>MIN(G33*$B$10,$B$7*$B$11-SUM(I$24:I32))</f>
        <v/>
      </c>
      <c r="J33" s="23">
        <f>IF(9=$B$8+$B$12,SUM(I$24:I32),0)</f>
        <v/>
      </c>
      <c r="K33" s="23">
        <f>G33-H33-I33+J33</f>
        <v/>
      </c>
      <c r="L33" s="23">
        <f>K33*$B$13</f>
        <v/>
      </c>
      <c r="M33" s="23">
        <f>IF(9-$B$14&gt;=1,INDEX($K$24:$K$60,9-$B$14+1),0)</f>
        <v/>
      </c>
      <c r="N33" s="23">
        <f>IF(9-$B$16&gt;=1,INDEX($F$24:$F$60,9-$B$16+1)*$B$7*$B$15,0)</f>
        <v/>
      </c>
      <c r="O33" s="36">
        <f>M33-N33</f>
        <v/>
      </c>
      <c r="P33" s="36">
        <f>P32+O33</f>
        <v/>
      </c>
    </row>
    <row r="34">
      <c r="A34" s="32">
        <f>IF(10=0,"بداية","شهر 10")</f>
        <v/>
      </c>
      <c r="B34" s="33">
        <f>DATE(YEAR($B$19),MONTH($B$19)+10,1)</f>
        <v/>
      </c>
      <c r="C34" s="34" t="n">
        <v>10</v>
      </c>
      <c r="D34" s="31" t="n"/>
      <c r="E34" s="35">
        <f>IF(10&gt;$B$8,1,CHOOSE(MATCH($B$18,$R$6:$R$9,0),(10/$B$8),3*(10/$B$8)^2-2*(10/$B$8)^3,1-(1-(10/$B$8))^1.6,(10/$B$8)^1.6))</f>
        <v/>
      </c>
      <c r="F34" s="37">
        <f>E34-E33</f>
        <v/>
      </c>
      <c r="G34" s="23">
        <f>F34*$B$7</f>
        <v/>
      </c>
      <c r="H34" s="23">
        <f>F34*$B$7*$B$9</f>
        <v/>
      </c>
      <c r="I34" s="23">
        <f>MIN(G34*$B$10,$B$7*$B$11-SUM(I$24:I33))</f>
        <v/>
      </c>
      <c r="J34" s="23">
        <f>IF(10=$B$8+$B$12,SUM(I$24:I33),0)</f>
        <v/>
      </c>
      <c r="K34" s="23">
        <f>G34-H34-I34+J34</f>
        <v/>
      </c>
      <c r="L34" s="23">
        <f>K34*$B$13</f>
        <v/>
      </c>
      <c r="M34" s="23">
        <f>IF(10-$B$14&gt;=1,INDEX($K$24:$K$60,10-$B$14+1),0)</f>
        <v/>
      </c>
      <c r="N34" s="23">
        <f>IF(10-$B$16&gt;=1,INDEX($F$24:$F$60,10-$B$16+1)*$B$7*$B$15,0)</f>
        <v/>
      </c>
      <c r="O34" s="36">
        <f>M34-N34</f>
        <v/>
      </c>
      <c r="P34" s="36">
        <f>P33+O34</f>
        <v/>
      </c>
    </row>
    <row r="35">
      <c r="A35" s="32">
        <f>IF(11=0,"بداية","شهر 11")</f>
        <v/>
      </c>
      <c r="B35" s="33">
        <f>DATE(YEAR($B$19),MONTH($B$19)+11,1)</f>
        <v/>
      </c>
      <c r="C35" s="34" t="n">
        <v>11</v>
      </c>
      <c r="D35" s="31" t="n"/>
      <c r="E35" s="35">
        <f>IF(11&gt;$B$8,1,CHOOSE(MATCH($B$18,$R$6:$R$9,0),(11/$B$8),3*(11/$B$8)^2-2*(11/$B$8)^3,1-(1-(11/$B$8))^1.6,(11/$B$8)^1.6))</f>
        <v/>
      </c>
      <c r="F35" s="37">
        <f>E35-E34</f>
        <v/>
      </c>
      <c r="G35" s="23">
        <f>F35*$B$7</f>
        <v/>
      </c>
      <c r="H35" s="23">
        <f>F35*$B$7*$B$9</f>
        <v/>
      </c>
      <c r="I35" s="23">
        <f>MIN(G35*$B$10,$B$7*$B$11-SUM(I$24:I34))</f>
        <v/>
      </c>
      <c r="J35" s="23">
        <f>IF(11=$B$8+$B$12,SUM(I$24:I34),0)</f>
        <v/>
      </c>
      <c r="K35" s="23">
        <f>G35-H35-I35+J35</f>
        <v/>
      </c>
      <c r="L35" s="23">
        <f>K35*$B$13</f>
        <v/>
      </c>
      <c r="M35" s="23">
        <f>IF(11-$B$14&gt;=1,INDEX($K$24:$K$60,11-$B$14+1),0)</f>
        <v/>
      </c>
      <c r="N35" s="23">
        <f>IF(11-$B$16&gt;=1,INDEX($F$24:$F$60,11-$B$16+1)*$B$7*$B$15,0)</f>
        <v/>
      </c>
      <c r="O35" s="36">
        <f>M35-N35</f>
        <v/>
      </c>
      <c r="P35" s="36">
        <f>P34+O35</f>
        <v/>
      </c>
    </row>
    <row r="36">
      <c r="A36" s="32">
        <f>IF(12=0,"بداية","شهر 12")</f>
        <v/>
      </c>
      <c r="B36" s="33">
        <f>DATE(YEAR($B$19),MONTH($B$19)+12,1)</f>
        <v/>
      </c>
      <c r="C36" s="34" t="n">
        <v>12</v>
      </c>
      <c r="D36" s="31" t="n"/>
      <c r="E36" s="35">
        <f>IF(12&gt;$B$8,1,CHOOSE(MATCH($B$18,$R$6:$R$9,0),(12/$B$8),3*(12/$B$8)^2-2*(12/$B$8)^3,1-(1-(12/$B$8))^1.6,(12/$B$8)^1.6))</f>
        <v/>
      </c>
      <c r="F36" s="37">
        <f>E36-E35</f>
        <v/>
      </c>
      <c r="G36" s="23">
        <f>F36*$B$7</f>
        <v/>
      </c>
      <c r="H36" s="23">
        <f>F36*$B$7*$B$9</f>
        <v/>
      </c>
      <c r="I36" s="23">
        <f>MIN(G36*$B$10,$B$7*$B$11-SUM(I$24:I35))</f>
        <v/>
      </c>
      <c r="J36" s="23">
        <f>IF(12=$B$8+$B$12,SUM(I$24:I35),0)</f>
        <v/>
      </c>
      <c r="K36" s="23">
        <f>G36-H36-I36+J36</f>
        <v/>
      </c>
      <c r="L36" s="23">
        <f>K36*$B$13</f>
        <v/>
      </c>
      <c r="M36" s="23">
        <f>IF(12-$B$14&gt;=1,INDEX($K$24:$K$60,12-$B$14+1),0)</f>
        <v/>
      </c>
      <c r="N36" s="23">
        <f>IF(12-$B$16&gt;=1,INDEX($F$24:$F$60,12-$B$16+1)*$B$7*$B$15,0)</f>
        <v/>
      </c>
      <c r="O36" s="36">
        <f>M36-N36</f>
        <v/>
      </c>
      <c r="P36" s="36">
        <f>P35+O36</f>
        <v/>
      </c>
    </row>
    <row r="37">
      <c r="A37" s="32">
        <f>IF(13=0,"بداية","شهر 13")</f>
        <v/>
      </c>
      <c r="B37" s="33">
        <f>DATE(YEAR($B$19),MONTH($B$19)+13,1)</f>
        <v/>
      </c>
      <c r="C37" s="34" t="n">
        <v>13</v>
      </c>
      <c r="D37" s="31" t="n"/>
      <c r="E37" s="35">
        <f>IF(13&gt;$B$8,1,CHOOSE(MATCH($B$18,$R$6:$R$9,0),(13/$B$8),3*(13/$B$8)^2-2*(13/$B$8)^3,1-(1-(13/$B$8))^1.6,(13/$B$8)^1.6))</f>
        <v/>
      </c>
      <c r="F37" s="37">
        <f>E37-E36</f>
        <v/>
      </c>
      <c r="G37" s="23">
        <f>F37*$B$7</f>
        <v/>
      </c>
      <c r="H37" s="23">
        <f>F37*$B$7*$B$9</f>
        <v/>
      </c>
      <c r="I37" s="23">
        <f>MIN(G37*$B$10,$B$7*$B$11-SUM(I$24:I36))</f>
        <v/>
      </c>
      <c r="J37" s="23">
        <f>IF(13=$B$8+$B$12,SUM(I$24:I36),0)</f>
        <v/>
      </c>
      <c r="K37" s="23">
        <f>G37-H37-I37+J37</f>
        <v/>
      </c>
      <c r="L37" s="23">
        <f>K37*$B$13</f>
        <v/>
      </c>
      <c r="M37" s="23">
        <f>IF(13-$B$14&gt;=1,INDEX($K$24:$K$60,13-$B$14+1),0)</f>
        <v/>
      </c>
      <c r="N37" s="23">
        <f>IF(13-$B$16&gt;=1,INDEX($F$24:$F$60,13-$B$16+1)*$B$7*$B$15,0)</f>
        <v/>
      </c>
      <c r="O37" s="36">
        <f>M37-N37</f>
        <v/>
      </c>
      <c r="P37" s="36">
        <f>P36+O37</f>
        <v/>
      </c>
    </row>
    <row r="38">
      <c r="A38" s="32">
        <f>IF(14=0,"بداية","شهر 14")</f>
        <v/>
      </c>
      <c r="B38" s="33">
        <f>DATE(YEAR($B$19),MONTH($B$19)+14,1)</f>
        <v/>
      </c>
      <c r="C38" s="34" t="n">
        <v>14</v>
      </c>
      <c r="D38" s="31" t="n"/>
      <c r="E38" s="35">
        <f>IF(14&gt;$B$8,1,CHOOSE(MATCH($B$18,$R$6:$R$9,0),(14/$B$8),3*(14/$B$8)^2-2*(14/$B$8)^3,1-(1-(14/$B$8))^1.6,(14/$B$8)^1.6))</f>
        <v/>
      </c>
      <c r="F38" s="37">
        <f>E38-E37</f>
        <v/>
      </c>
      <c r="G38" s="23">
        <f>F38*$B$7</f>
        <v/>
      </c>
      <c r="H38" s="23">
        <f>F38*$B$7*$B$9</f>
        <v/>
      </c>
      <c r="I38" s="23">
        <f>MIN(G38*$B$10,$B$7*$B$11-SUM(I$24:I37))</f>
        <v/>
      </c>
      <c r="J38" s="23">
        <f>IF(14=$B$8+$B$12,SUM(I$24:I37),0)</f>
        <v/>
      </c>
      <c r="K38" s="23">
        <f>G38-H38-I38+J38</f>
        <v/>
      </c>
      <c r="L38" s="23">
        <f>K38*$B$13</f>
        <v/>
      </c>
      <c r="M38" s="23">
        <f>IF(14-$B$14&gt;=1,INDEX($K$24:$K$60,14-$B$14+1),0)</f>
        <v/>
      </c>
      <c r="N38" s="23">
        <f>IF(14-$B$16&gt;=1,INDEX($F$24:$F$60,14-$B$16+1)*$B$7*$B$15,0)</f>
        <v/>
      </c>
      <c r="O38" s="36">
        <f>M38-N38</f>
        <v/>
      </c>
      <c r="P38" s="36">
        <f>P37+O38</f>
        <v/>
      </c>
    </row>
    <row r="39">
      <c r="A39" s="32">
        <f>IF(15=0,"بداية","شهر 15")</f>
        <v/>
      </c>
      <c r="B39" s="33">
        <f>DATE(YEAR($B$19),MONTH($B$19)+15,1)</f>
        <v/>
      </c>
      <c r="C39" s="34" t="n">
        <v>15</v>
      </c>
      <c r="D39" s="31" t="n"/>
      <c r="E39" s="35">
        <f>IF(15&gt;$B$8,1,CHOOSE(MATCH($B$18,$R$6:$R$9,0),(15/$B$8),3*(15/$B$8)^2-2*(15/$B$8)^3,1-(1-(15/$B$8))^1.6,(15/$B$8)^1.6))</f>
        <v/>
      </c>
      <c r="F39" s="37">
        <f>E39-E38</f>
        <v/>
      </c>
      <c r="G39" s="23">
        <f>F39*$B$7</f>
        <v/>
      </c>
      <c r="H39" s="23">
        <f>F39*$B$7*$B$9</f>
        <v/>
      </c>
      <c r="I39" s="23">
        <f>MIN(G39*$B$10,$B$7*$B$11-SUM(I$24:I38))</f>
        <v/>
      </c>
      <c r="J39" s="23">
        <f>IF(15=$B$8+$B$12,SUM(I$24:I38),0)</f>
        <v/>
      </c>
      <c r="K39" s="23">
        <f>G39-H39-I39+J39</f>
        <v/>
      </c>
      <c r="L39" s="23">
        <f>K39*$B$13</f>
        <v/>
      </c>
      <c r="M39" s="23">
        <f>IF(15-$B$14&gt;=1,INDEX($K$24:$K$60,15-$B$14+1),0)</f>
        <v/>
      </c>
      <c r="N39" s="23">
        <f>IF(15-$B$16&gt;=1,INDEX($F$24:$F$60,15-$B$16+1)*$B$7*$B$15,0)</f>
        <v/>
      </c>
      <c r="O39" s="36">
        <f>M39-N39</f>
        <v/>
      </c>
      <c r="P39" s="36">
        <f>P38+O39</f>
        <v/>
      </c>
    </row>
    <row r="40">
      <c r="A40" s="32">
        <f>IF(16=0,"بداية","شهر 16")</f>
        <v/>
      </c>
      <c r="B40" s="33">
        <f>DATE(YEAR($B$19),MONTH($B$19)+16,1)</f>
        <v/>
      </c>
      <c r="C40" s="34" t="n">
        <v>16</v>
      </c>
      <c r="D40" s="31" t="n"/>
      <c r="E40" s="35">
        <f>IF(16&gt;$B$8,1,CHOOSE(MATCH($B$18,$R$6:$R$9,0),(16/$B$8),3*(16/$B$8)^2-2*(16/$B$8)^3,1-(1-(16/$B$8))^1.6,(16/$B$8)^1.6))</f>
        <v/>
      </c>
      <c r="F40" s="37">
        <f>E40-E39</f>
        <v/>
      </c>
      <c r="G40" s="23">
        <f>F40*$B$7</f>
        <v/>
      </c>
      <c r="H40" s="23">
        <f>F40*$B$7*$B$9</f>
        <v/>
      </c>
      <c r="I40" s="23">
        <f>MIN(G40*$B$10,$B$7*$B$11-SUM(I$24:I39))</f>
        <v/>
      </c>
      <c r="J40" s="23">
        <f>IF(16=$B$8+$B$12,SUM(I$24:I39),0)</f>
        <v/>
      </c>
      <c r="K40" s="23">
        <f>G40-H40-I40+J40</f>
        <v/>
      </c>
      <c r="L40" s="23">
        <f>K40*$B$13</f>
        <v/>
      </c>
      <c r="M40" s="23">
        <f>IF(16-$B$14&gt;=1,INDEX($K$24:$K$60,16-$B$14+1),0)</f>
        <v/>
      </c>
      <c r="N40" s="23">
        <f>IF(16-$B$16&gt;=1,INDEX($F$24:$F$60,16-$B$16+1)*$B$7*$B$15,0)</f>
        <v/>
      </c>
      <c r="O40" s="36">
        <f>M40-N40</f>
        <v/>
      </c>
      <c r="P40" s="36">
        <f>P39+O40</f>
        <v/>
      </c>
    </row>
    <row r="41">
      <c r="A41" s="32">
        <f>IF(17=0,"بداية","شهر 17")</f>
        <v/>
      </c>
      <c r="B41" s="33">
        <f>DATE(YEAR($B$19),MONTH($B$19)+17,1)</f>
        <v/>
      </c>
      <c r="C41" s="34" t="n">
        <v>17</v>
      </c>
      <c r="D41" s="31" t="n"/>
      <c r="E41" s="35">
        <f>IF(17&gt;$B$8,1,CHOOSE(MATCH($B$18,$R$6:$R$9,0),(17/$B$8),3*(17/$B$8)^2-2*(17/$B$8)^3,1-(1-(17/$B$8))^1.6,(17/$B$8)^1.6))</f>
        <v/>
      </c>
      <c r="F41" s="37">
        <f>E41-E40</f>
        <v/>
      </c>
      <c r="G41" s="23">
        <f>F41*$B$7</f>
        <v/>
      </c>
      <c r="H41" s="23">
        <f>F41*$B$7*$B$9</f>
        <v/>
      </c>
      <c r="I41" s="23">
        <f>MIN(G41*$B$10,$B$7*$B$11-SUM(I$24:I40))</f>
        <v/>
      </c>
      <c r="J41" s="23">
        <f>IF(17=$B$8+$B$12,SUM(I$24:I40),0)</f>
        <v/>
      </c>
      <c r="K41" s="23">
        <f>G41-H41-I41+J41</f>
        <v/>
      </c>
      <c r="L41" s="23">
        <f>K41*$B$13</f>
        <v/>
      </c>
      <c r="M41" s="23">
        <f>IF(17-$B$14&gt;=1,INDEX($K$24:$K$60,17-$B$14+1),0)</f>
        <v/>
      </c>
      <c r="N41" s="23">
        <f>IF(17-$B$16&gt;=1,INDEX($F$24:$F$60,17-$B$16+1)*$B$7*$B$15,0)</f>
        <v/>
      </c>
      <c r="O41" s="36">
        <f>M41-N41</f>
        <v/>
      </c>
      <c r="P41" s="36">
        <f>P40+O41</f>
        <v/>
      </c>
    </row>
    <row r="42">
      <c r="A42" s="32">
        <f>IF(18=0,"بداية","شهر 18")</f>
        <v/>
      </c>
      <c r="B42" s="33">
        <f>DATE(YEAR($B$19),MONTH($B$19)+18,1)</f>
        <v/>
      </c>
      <c r="C42" s="34" t="n">
        <v>18</v>
      </c>
      <c r="D42" s="31" t="n"/>
      <c r="E42" s="35">
        <f>IF(18&gt;$B$8,1,CHOOSE(MATCH($B$18,$R$6:$R$9,0),(18/$B$8),3*(18/$B$8)^2-2*(18/$B$8)^3,1-(1-(18/$B$8))^1.6,(18/$B$8)^1.6))</f>
        <v/>
      </c>
      <c r="F42" s="37">
        <f>E42-E41</f>
        <v/>
      </c>
      <c r="G42" s="23">
        <f>F42*$B$7</f>
        <v/>
      </c>
      <c r="H42" s="23">
        <f>F42*$B$7*$B$9</f>
        <v/>
      </c>
      <c r="I42" s="23">
        <f>MIN(G42*$B$10,$B$7*$B$11-SUM(I$24:I41))</f>
        <v/>
      </c>
      <c r="J42" s="23">
        <f>IF(18=$B$8+$B$12,SUM(I$24:I41),0)</f>
        <v/>
      </c>
      <c r="K42" s="23">
        <f>G42-H42-I42+J42</f>
        <v/>
      </c>
      <c r="L42" s="23">
        <f>K42*$B$13</f>
        <v/>
      </c>
      <c r="M42" s="23">
        <f>IF(18-$B$14&gt;=1,INDEX($K$24:$K$60,18-$B$14+1),0)</f>
        <v/>
      </c>
      <c r="N42" s="23">
        <f>IF(18-$B$16&gt;=1,INDEX($F$24:$F$60,18-$B$16+1)*$B$7*$B$15,0)</f>
        <v/>
      </c>
      <c r="O42" s="36">
        <f>M42-N42</f>
        <v/>
      </c>
      <c r="P42" s="36">
        <f>P41+O42</f>
        <v/>
      </c>
    </row>
    <row r="43">
      <c r="A43" s="32">
        <f>IF(19=0,"بداية","شهر 19")</f>
        <v/>
      </c>
      <c r="B43" s="33">
        <f>DATE(YEAR($B$19),MONTH($B$19)+19,1)</f>
        <v/>
      </c>
      <c r="C43" s="34" t="n">
        <v>19</v>
      </c>
      <c r="D43" s="31" t="n"/>
      <c r="E43" s="35">
        <f>IF(19&gt;$B$8,1,CHOOSE(MATCH($B$18,$R$6:$R$9,0),(19/$B$8),3*(19/$B$8)^2-2*(19/$B$8)^3,1-(1-(19/$B$8))^1.6,(19/$B$8)^1.6))</f>
        <v/>
      </c>
      <c r="F43" s="37">
        <f>E43-E42</f>
        <v/>
      </c>
      <c r="G43" s="23">
        <f>F43*$B$7</f>
        <v/>
      </c>
      <c r="H43" s="23">
        <f>F43*$B$7*$B$9</f>
        <v/>
      </c>
      <c r="I43" s="23">
        <f>MIN(G43*$B$10,$B$7*$B$11-SUM(I$24:I42))</f>
        <v/>
      </c>
      <c r="J43" s="23">
        <f>IF(19=$B$8+$B$12,SUM(I$24:I42),0)</f>
        <v/>
      </c>
      <c r="K43" s="23">
        <f>G43-H43-I43+J43</f>
        <v/>
      </c>
      <c r="L43" s="23">
        <f>K43*$B$13</f>
        <v/>
      </c>
      <c r="M43" s="23">
        <f>IF(19-$B$14&gt;=1,INDEX($K$24:$K$60,19-$B$14+1),0)</f>
        <v/>
      </c>
      <c r="N43" s="23">
        <f>IF(19-$B$16&gt;=1,INDEX($F$24:$F$60,19-$B$16+1)*$B$7*$B$15,0)</f>
        <v/>
      </c>
      <c r="O43" s="36">
        <f>M43-N43</f>
        <v/>
      </c>
      <c r="P43" s="36">
        <f>P42+O43</f>
        <v/>
      </c>
    </row>
    <row r="44">
      <c r="A44" s="32">
        <f>IF(20=0,"بداية","شهر 20")</f>
        <v/>
      </c>
      <c r="B44" s="33">
        <f>DATE(YEAR($B$19),MONTH($B$19)+20,1)</f>
        <v/>
      </c>
      <c r="C44" s="34" t="n">
        <v>20</v>
      </c>
      <c r="D44" s="31" t="n"/>
      <c r="E44" s="35">
        <f>IF(20&gt;$B$8,1,CHOOSE(MATCH($B$18,$R$6:$R$9,0),(20/$B$8),3*(20/$B$8)^2-2*(20/$B$8)^3,1-(1-(20/$B$8))^1.6,(20/$B$8)^1.6))</f>
        <v/>
      </c>
      <c r="F44" s="37">
        <f>E44-E43</f>
        <v/>
      </c>
      <c r="G44" s="23">
        <f>F44*$B$7</f>
        <v/>
      </c>
      <c r="H44" s="23">
        <f>F44*$B$7*$B$9</f>
        <v/>
      </c>
      <c r="I44" s="23">
        <f>MIN(G44*$B$10,$B$7*$B$11-SUM(I$24:I43))</f>
        <v/>
      </c>
      <c r="J44" s="23">
        <f>IF(20=$B$8+$B$12,SUM(I$24:I43),0)</f>
        <v/>
      </c>
      <c r="K44" s="23">
        <f>G44-H44-I44+J44</f>
        <v/>
      </c>
      <c r="L44" s="23">
        <f>K44*$B$13</f>
        <v/>
      </c>
      <c r="M44" s="23">
        <f>IF(20-$B$14&gt;=1,INDEX($K$24:$K$60,20-$B$14+1),0)</f>
        <v/>
      </c>
      <c r="N44" s="23">
        <f>IF(20-$B$16&gt;=1,INDEX($F$24:$F$60,20-$B$16+1)*$B$7*$B$15,0)</f>
        <v/>
      </c>
      <c r="O44" s="36">
        <f>M44-N44</f>
        <v/>
      </c>
      <c r="P44" s="36">
        <f>P43+O44</f>
        <v/>
      </c>
    </row>
    <row r="45">
      <c r="A45" s="32">
        <f>IF(21=0,"بداية","شهر 21")</f>
        <v/>
      </c>
      <c r="B45" s="33">
        <f>DATE(YEAR($B$19),MONTH($B$19)+21,1)</f>
        <v/>
      </c>
      <c r="C45" s="34" t="n">
        <v>21</v>
      </c>
      <c r="D45" s="31" t="n"/>
      <c r="E45" s="35">
        <f>IF(21&gt;$B$8,1,CHOOSE(MATCH($B$18,$R$6:$R$9,0),(21/$B$8),3*(21/$B$8)^2-2*(21/$B$8)^3,1-(1-(21/$B$8))^1.6,(21/$B$8)^1.6))</f>
        <v/>
      </c>
      <c r="F45" s="37">
        <f>E45-E44</f>
        <v/>
      </c>
      <c r="G45" s="23">
        <f>F45*$B$7</f>
        <v/>
      </c>
      <c r="H45" s="23">
        <f>F45*$B$7*$B$9</f>
        <v/>
      </c>
      <c r="I45" s="23">
        <f>MIN(G45*$B$10,$B$7*$B$11-SUM(I$24:I44))</f>
        <v/>
      </c>
      <c r="J45" s="23">
        <f>IF(21=$B$8+$B$12,SUM(I$24:I44),0)</f>
        <v/>
      </c>
      <c r="K45" s="23">
        <f>G45-H45-I45+J45</f>
        <v/>
      </c>
      <c r="L45" s="23">
        <f>K45*$B$13</f>
        <v/>
      </c>
      <c r="M45" s="23">
        <f>IF(21-$B$14&gt;=1,INDEX($K$24:$K$60,21-$B$14+1),0)</f>
        <v/>
      </c>
      <c r="N45" s="23">
        <f>IF(21-$B$16&gt;=1,INDEX($F$24:$F$60,21-$B$16+1)*$B$7*$B$15,0)</f>
        <v/>
      </c>
      <c r="O45" s="36">
        <f>M45-N45</f>
        <v/>
      </c>
      <c r="P45" s="36">
        <f>P44+O45</f>
        <v/>
      </c>
    </row>
    <row r="46">
      <c r="A46" s="32">
        <f>IF(22=0,"بداية","شهر 22")</f>
        <v/>
      </c>
      <c r="B46" s="33">
        <f>DATE(YEAR($B$19),MONTH($B$19)+22,1)</f>
        <v/>
      </c>
      <c r="C46" s="34" t="n">
        <v>22</v>
      </c>
      <c r="D46" s="31" t="n"/>
      <c r="E46" s="35">
        <f>IF(22&gt;$B$8,1,CHOOSE(MATCH($B$18,$R$6:$R$9,0),(22/$B$8),3*(22/$B$8)^2-2*(22/$B$8)^3,1-(1-(22/$B$8))^1.6,(22/$B$8)^1.6))</f>
        <v/>
      </c>
      <c r="F46" s="37">
        <f>E46-E45</f>
        <v/>
      </c>
      <c r="G46" s="23">
        <f>F46*$B$7</f>
        <v/>
      </c>
      <c r="H46" s="23">
        <f>F46*$B$7*$B$9</f>
        <v/>
      </c>
      <c r="I46" s="23">
        <f>MIN(G46*$B$10,$B$7*$B$11-SUM(I$24:I45))</f>
        <v/>
      </c>
      <c r="J46" s="23">
        <f>IF(22=$B$8+$B$12,SUM(I$24:I45),0)</f>
        <v/>
      </c>
      <c r="K46" s="23">
        <f>G46-H46-I46+J46</f>
        <v/>
      </c>
      <c r="L46" s="23">
        <f>K46*$B$13</f>
        <v/>
      </c>
      <c r="M46" s="23">
        <f>IF(22-$B$14&gt;=1,INDEX($K$24:$K$60,22-$B$14+1),0)</f>
        <v/>
      </c>
      <c r="N46" s="23">
        <f>IF(22-$B$16&gt;=1,INDEX($F$24:$F$60,22-$B$16+1)*$B$7*$B$15,0)</f>
        <v/>
      </c>
      <c r="O46" s="36">
        <f>M46-N46</f>
        <v/>
      </c>
      <c r="P46" s="36">
        <f>P45+O46</f>
        <v/>
      </c>
    </row>
    <row r="47">
      <c r="A47" s="32">
        <f>IF(23=0,"بداية","شهر 23")</f>
        <v/>
      </c>
      <c r="B47" s="33">
        <f>DATE(YEAR($B$19),MONTH($B$19)+23,1)</f>
        <v/>
      </c>
      <c r="C47" s="34" t="n">
        <v>23</v>
      </c>
      <c r="D47" s="31" t="n"/>
      <c r="E47" s="35">
        <f>IF(23&gt;$B$8,1,CHOOSE(MATCH($B$18,$R$6:$R$9,0),(23/$B$8),3*(23/$B$8)^2-2*(23/$B$8)^3,1-(1-(23/$B$8))^1.6,(23/$B$8)^1.6))</f>
        <v/>
      </c>
      <c r="F47" s="37">
        <f>E47-E46</f>
        <v/>
      </c>
      <c r="G47" s="23">
        <f>F47*$B$7</f>
        <v/>
      </c>
      <c r="H47" s="23">
        <f>F47*$B$7*$B$9</f>
        <v/>
      </c>
      <c r="I47" s="23">
        <f>MIN(G47*$B$10,$B$7*$B$11-SUM(I$24:I46))</f>
        <v/>
      </c>
      <c r="J47" s="23">
        <f>IF(23=$B$8+$B$12,SUM(I$24:I46),0)</f>
        <v/>
      </c>
      <c r="K47" s="23">
        <f>G47-H47-I47+J47</f>
        <v/>
      </c>
      <c r="L47" s="23">
        <f>K47*$B$13</f>
        <v/>
      </c>
      <c r="M47" s="23">
        <f>IF(23-$B$14&gt;=1,INDEX($K$24:$K$60,23-$B$14+1),0)</f>
        <v/>
      </c>
      <c r="N47" s="23">
        <f>IF(23-$B$16&gt;=1,INDEX($F$24:$F$60,23-$B$16+1)*$B$7*$B$15,0)</f>
        <v/>
      </c>
      <c r="O47" s="36">
        <f>M47-N47</f>
        <v/>
      </c>
      <c r="P47" s="36">
        <f>P46+O47</f>
        <v/>
      </c>
    </row>
    <row r="48">
      <c r="A48" s="32">
        <f>IF(24=0,"بداية","شهر 24")</f>
        <v/>
      </c>
      <c r="B48" s="33">
        <f>DATE(YEAR($B$19),MONTH($B$19)+24,1)</f>
        <v/>
      </c>
      <c r="C48" s="34" t="n">
        <v>24</v>
      </c>
      <c r="D48" s="31" t="n"/>
      <c r="E48" s="35">
        <f>IF(24&gt;$B$8,1,CHOOSE(MATCH($B$18,$R$6:$R$9,0),(24/$B$8),3*(24/$B$8)^2-2*(24/$B$8)^3,1-(1-(24/$B$8))^1.6,(24/$B$8)^1.6))</f>
        <v/>
      </c>
      <c r="F48" s="37">
        <f>E48-E47</f>
        <v/>
      </c>
      <c r="G48" s="23">
        <f>F48*$B$7</f>
        <v/>
      </c>
      <c r="H48" s="23">
        <f>F48*$B$7*$B$9</f>
        <v/>
      </c>
      <c r="I48" s="23">
        <f>MIN(G48*$B$10,$B$7*$B$11-SUM(I$24:I47))</f>
        <v/>
      </c>
      <c r="J48" s="23">
        <f>IF(24=$B$8+$B$12,SUM(I$24:I47),0)</f>
        <v/>
      </c>
      <c r="K48" s="23">
        <f>G48-H48-I48+J48</f>
        <v/>
      </c>
      <c r="L48" s="23">
        <f>K48*$B$13</f>
        <v/>
      </c>
      <c r="M48" s="23">
        <f>IF(24-$B$14&gt;=1,INDEX($K$24:$K$60,24-$B$14+1),0)</f>
        <v/>
      </c>
      <c r="N48" s="23">
        <f>IF(24-$B$16&gt;=1,INDEX($F$24:$F$60,24-$B$16+1)*$B$7*$B$15,0)</f>
        <v/>
      </c>
      <c r="O48" s="36">
        <f>M48-N48</f>
        <v/>
      </c>
      <c r="P48" s="36">
        <f>P47+O48</f>
        <v/>
      </c>
    </row>
    <row r="49">
      <c r="A49" s="32">
        <f>IF(25=0,"بداية","شهر 25")</f>
        <v/>
      </c>
      <c r="B49" s="33">
        <f>DATE(YEAR($B$19),MONTH($B$19)+25,1)</f>
        <v/>
      </c>
      <c r="C49" s="34" t="n">
        <v>25</v>
      </c>
      <c r="D49" s="31" t="n"/>
      <c r="E49" s="35">
        <f>IF(25&gt;$B$8,1,CHOOSE(MATCH($B$18,$R$6:$R$9,0),(25/$B$8),3*(25/$B$8)^2-2*(25/$B$8)^3,1-(1-(25/$B$8))^1.6,(25/$B$8)^1.6))</f>
        <v/>
      </c>
      <c r="F49" s="37">
        <f>E49-E48</f>
        <v/>
      </c>
      <c r="G49" s="23">
        <f>F49*$B$7</f>
        <v/>
      </c>
      <c r="H49" s="23">
        <f>F49*$B$7*$B$9</f>
        <v/>
      </c>
      <c r="I49" s="23">
        <f>MIN(G49*$B$10,$B$7*$B$11-SUM(I$24:I48))</f>
        <v/>
      </c>
      <c r="J49" s="23">
        <f>IF(25=$B$8+$B$12,SUM(I$24:I48),0)</f>
        <v/>
      </c>
      <c r="K49" s="23">
        <f>G49-H49-I49+J49</f>
        <v/>
      </c>
      <c r="L49" s="23">
        <f>K49*$B$13</f>
        <v/>
      </c>
      <c r="M49" s="23">
        <f>IF(25-$B$14&gt;=1,INDEX($K$24:$K$60,25-$B$14+1),0)</f>
        <v/>
      </c>
      <c r="N49" s="23">
        <f>IF(25-$B$16&gt;=1,INDEX($F$24:$F$60,25-$B$16+1)*$B$7*$B$15,0)</f>
        <v/>
      </c>
      <c r="O49" s="36">
        <f>M49-N49</f>
        <v/>
      </c>
      <c r="P49" s="36">
        <f>P48+O49</f>
        <v/>
      </c>
    </row>
    <row r="50">
      <c r="A50" s="32">
        <f>IF(26=0,"بداية","شهر 26")</f>
        <v/>
      </c>
      <c r="B50" s="33">
        <f>DATE(YEAR($B$19),MONTH($B$19)+26,1)</f>
        <v/>
      </c>
      <c r="C50" s="34" t="n">
        <v>26</v>
      </c>
      <c r="D50" s="31" t="n"/>
      <c r="E50" s="35">
        <f>IF(26&gt;$B$8,1,CHOOSE(MATCH($B$18,$R$6:$R$9,0),(26/$B$8),3*(26/$B$8)^2-2*(26/$B$8)^3,1-(1-(26/$B$8))^1.6,(26/$B$8)^1.6))</f>
        <v/>
      </c>
      <c r="F50" s="37">
        <f>E50-E49</f>
        <v/>
      </c>
      <c r="G50" s="23">
        <f>F50*$B$7</f>
        <v/>
      </c>
      <c r="H50" s="23">
        <f>F50*$B$7*$B$9</f>
        <v/>
      </c>
      <c r="I50" s="23">
        <f>MIN(G50*$B$10,$B$7*$B$11-SUM(I$24:I49))</f>
        <v/>
      </c>
      <c r="J50" s="23">
        <f>IF(26=$B$8+$B$12,SUM(I$24:I49),0)</f>
        <v/>
      </c>
      <c r="K50" s="23">
        <f>G50-H50-I50+J50</f>
        <v/>
      </c>
      <c r="L50" s="23">
        <f>K50*$B$13</f>
        <v/>
      </c>
      <c r="M50" s="23">
        <f>IF(26-$B$14&gt;=1,INDEX($K$24:$K$60,26-$B$14+1),0)</f>
        <v/>
      </c>
      <c r="N50" s="23">
        <f>IF(26-$B$16&gt;=1,INDEX($F$24:$F$60,26-$B$16+1)*$B$7*$B$15,0)</f>
        <v/>
      </c>
      <c r="O50" s="36">
        <f>M50-N50</f>
        <v/>
      </c>
      <c r="P50" s="36">
        <f>P49+O50</f>
        <v/>
      </c>
    </row>
    <row r="51">
      <c r="A51" s="32">
        <f>IF(27=0,"بداية","شهر 27")</f>
        <v/>
      </c>
      <c r="B51" s="33">
        <f>DATE(YEAR($B$19),MONTH($B$19)+27,1)</f>
        <v/>
      </c>
      <c r="C51" s="34" t="n">
        <v>27</v>
      </c>
      <c r="D51" s="31" t="n"/>
      <c r="E51" s="35">
        <f>IF(27&gt;$B$8,1,CHOOSE(MATCH($B$18,$R$6:$R$9,0),(27/$B$8),3*(27/$B$8)^2-2*(27/$B$8)^3,1-(1-(27/$B$8))^1.6,(27/$B$8)^1.6))</f>
        <v/>
      </c>
      <c r="F51" s="37">
        <f>E51-E50</f>
        <v/>
      </c>
      <c r="G51" s="23">
        <f>F51*$B$7</f>
        <v/>
      </c>
      <c r="H51" s="23">
        <f>F51*$B$7*$B$9</f>
        <v/>
      </c>
      <c r="I51" s="23">
        <f>MIN(G51*$B$10,$B$7*$B$11-SUM(I$24:I50))</f>
        <v/>
      </c>
      <c r="J51" s="23">
        <f>IF(27=$B$8+$B$12,SUM(I$24:I50),0)</f>
        <v/>
      </c>
      <c r="K51" s="23">
        <f>G51-H51-I51+J51</f>
        <v/>
      </c>
      <c r="L51" s="23">
        <f>K51*$B$13</f>
        <v/>
      </c>
      <c r="M51" s="23">
        <f>IF(27-$B$14&gt;=1,INDEX($K$24:$K$60,27-$B$14+1),0)</f>
        <v/>
      </c>
      <c r="N51" s="23">
        <f>IF(27-$B$16&gt;=1,INDEX($F$24:$F$60,27-$B$16+1)*$B$7*$B$15,0)</f>
        <v/>
      </c>
      <c r="O51" s="36">
        <f>M51-N51</f>
        <v/>
      </c>
      <c r="P51" s="36">
        <f>P50+O51</f>
        <v/>
      </c>
    </row>
    <row r="52">
      <c r="A52" s="32">
        <f>IF(28=0,"بداية","شهر 28")</f>
        <v/>
      </c>
      <c r="B52" s="33">
        <f>DATE(YEAR($B$19),MONTH($B$19)+28,1)</f>
        <v/>
      </c>
      <c r="C52" s="34" t="n">
        <v>28</v>
      </c>
      <c r="D52" s="31" t="n"/>
      <c r="E52" s="35">
        <f>IF(28&gt;$B$8,1,CHOOSE(MATCH($B$18,$R$6:$R$9,0),(28/$B$8),3*(28/$B$8)^2-2*(28/$B$8)^3,1-(1-(28/$B$8))^1.6,(28/$B$8)^1.6))</f>
        <v/>
      </c>
      <c r="F52" s="37">
        <f>E52-E51</f>
        <v/>
      </c>
      <c r="G52" s="23">
        <f>F52*$B$7</f>
        <v/>
      </c>
      <c r="H52" s="23">
        <f>F52*$B$7*$B$9</f>
        <v/>
      </c>
      <c r="I52" s="23">
        <f>MIN(G52*$B$10,$B$7*$B$11-SUM(I$24:I51))</f>
        <v/>
      </c>
      <c r="J52" s="23">
        <f>IF(28=$B$8+$B$12,SUM(I$24:I51),0)</f>
        <v/>
      </c>
      <c r="K52" s="23">
        <f>G52-H52-I52+J52</f>
        <v/>
      </c>
      <c r="L52" s="23">
        <f>K52*$B$13</f>
        <v/>
      </c>
      <c r="M52" s="23">
        <f>IF(28-$B$14&gt;=1,INDEX($K$24:$K$60,28-$B$14+1),0)</f>
        <v/>
      </c>
      <c r="N52" s="23">
        <f>IF(28-$B$16&gt;=1,INDEX($F$24:$F$60,28-$B$16+1)*$B$7*$B$15,0)</f>
        <v/>
      </c>
      <c r="O52" s="36">
        <f>M52-N52</f>
        <v/>
      </c>
      <c r="P52" s="36">
        <f>P51+O52</f>
        <v/>
      </c>
    </row>
    <row r="53">
      <c r="A53" s="32">
        <f>IF(29=0,"بداية","شهر 29")</f>
        <v/>
      </c>
      <c r="B53" s="33">
        <f>DATE(YEAR($B$19),MONTH($B$19)+29,1)</f>
        <v/>
      </c>
      <c r="C53" s="34" t="n">
        <v>29</v>
      </c>
      <c r="D53" s="31" t="n"/>
      <c r="E53" s="35">
        <f>IF(29&gt;$B$8,1,CHOOSE(MATCH($B$18,$R$6:$R$9,0),(29/$B$8),3*(29/$B$8)^2-2*(29/$B$8)^3,1-(1-(29/$B$8))^1.6,(29/$B$8)^1.6))</f>
        <v/>
      </c>
      <c r="F53" s="37">
        <f>E53-E52</f>
        <v/>
      </c>
      <c r="G53" s="23">
        <f>F53*$B$7</f>
        <v/>
      </c>
      <c r="H53" s="23">
        <f>F53*$B$7*$B$9</f>
        <v/>
      </c>
      <c r="I53" s="23">
        <f>MIN(G53*$B$10,$B$7*$B$11-SUM(I$24:I52))</f>
        <v/>
      </c>
      <c r="J53" s="23">
        <f>IF(29=$B$8+$B$12,SUM(I$24:I52),0)</f>
        <v/>
      </c>
      <c r="K53" s="23">
        <f>G53-H53-I53+J53</f>
        <v/>
      </c>
      <c r="L53" s="23">
        <f>K53*$B$13</f>
        <v/>
      </c>
      <c r="M53" s="23">
        <f>IF(29-$B$14&gt;=1,INDEX($K$24:$K$60,29-$B$14+1),0)</f>
        <v/>
      </c>
      <c r="N53" s="23">
        <f>IF(29-$B$16&gt;=1,INDEX($F$24:$F$60,29-$B$16+1)*$B$7*$B$15,0)</f>
        <v/>
      </c>
      <c r="O53" s="36">
        <f>M53-N53</f>
        <v/>
      </c>
      <c r="P53" s="36">
        <f>P52+O53</f>
        <v/>
      </c>
    </row>
    <row r="54">
      <c r="A54" s="32">
        <f>IF(30=0,"بداية","شهر 30")</f>
        <v/>
      </c>
      <c r="B54" s="33">
        <f>DATE(YEAR($B$19),MONTH($B$19)+30,1)</f>
        <v/>
      </c>
      <c r="C54" s="34" t="n">
        <v>30</v>
      </c>
      <c r="D54" s="31" t="n"/>
      <c r="E54" s="35">
        <f>IF(30&gt;$B$8,1,CHOOSE(MATCH($B$18,$R$6:$R$9,0),(30/$B$8),3*(30/$B$8)^2-2*(30/$B$8)^3,1-(1-(30/$B$8))^1.6,(30/$B$8)^1.6))</f>
        <v/>
      </c>
      <c r="F54" s="37">
        <f>E54-E53</f>
        <v/>
      </c>
      <c r="G54" s="23">
        <f>F54*$B$7</f>
        <v/>
      </c>
      <c r="H54" s="23">
        <f>F54*$B$7*$B$9</f>
        <v/>
      </c>
      <c r="I54" s="23">
        <f>MIN(G54*$B$10,$B$7*$B$11-SUM(I$24:I53))</f>
        <v/>
      </c>
      <c r="J54" s="23">
        <f>IF(30=$B$8+$B$12,SUM(I$24:I53),0)</f>
        <v/>
      </c>
      <c r="K54" s="23">
        <f>G54-H54-I54+J54</f>
        <v/>
      </c>
      <c r="L54" s="23">
        <f>K54*$B$13</f>
        <v/>
      </c>
      <c r="M54" s="23">
        <f>IF(30-$B$14&gt;=1,INDEX($K$24:$K$60,30-$B$14+1),0)</f>
        <v/>
      </c>
      <c r="N54" s="23">
        <f>IF(30-$B$16&gt;=1,INDEX($F$24:$F$60,30-$B$16+1)*$B$7*$B$15,0)</f>
        <v/>
      </c>
      <c r="O54" s="36">
        <f>M54-N54</f>
        <v/>
      </c>
      <c r="P54" s="36">
        <f>P53+O54</f>
        <v/>
      </c>
    </row>
    <row r="55">
      <c r="A55" s="32">
        <f>IF(31=0,"بداية","شهر 31")</f>
        <v/>
      </c>
      <c r="B55" s="33">
        <f>DATE(YEAR($B$19),MONTH($B$19)+31,1)</f>
        <v/>
      </c>
      <c r="C55" s="34" t="n">
        <v>31</v>
      </c>
      <c r="D55" s="31" t="n"/>
      <c r="E55" s="35">
        <f>IF(31&gt;$B$8,1,CHOOSE(MATCH($B$18,$R$6:$R$9,0),(31/$B$8),3*(31/$B$8)^2-2*(31/$B$8)^3,1-(1-(31/$B$8))^1.6,(31/$B$8)^1.6))</f>
        <v/>
      </c>
      <c r="F55" s="37">
        <f>E55-E54</f>
        <v/>
      </c>
      <c r="G55" s="23">
        <f>F55*$B$7</f>
        <v/>
      </c>
      <c r="H55" s="23">
        <f>F55*$B$7*$B$9</f>
        <v/>
      </c>
      <c r="I55" s="23">
        <f>MIN(G55*$B$10,$B$7*$B$11-SUM(I$24:I54))</f>
        <v/>
      </c>
      <c r="J55" s="23">
        <f>IF(31=$B$8+$B$12,SUM(I$24:I54),0)</f>
        <v/>
      </c>
      <c r="K55" s="23">
        <f>G55-H55-I55+J55</f>
        <v/>
      </c>
      <c r="L55" s="23">
        <f>K55*$B$13</f>
        <v/>
      </c>
      <c r="M55" s="23">
        <f>IF(31-$B$14&gt;=1,INDEX($K$24:$K$60,31-$B$14+1),0)</f>
        <v/>
      </c>
      <c r="N55" s="23">
        <f>IF(31-$B$16&gt;=1,INDEX($F$24:$F$60,31-$B$16+1)*$B$7*$B$15,0)</f>
        <v/>
      </c>
      <c r="O55" s="36">
        <f>M55-N55</f>
        <v/>
      </c>
      <c r="P55" s="36">
        <f>P54+O55</f>
        <v/>
      </c>
    </row>
    <row r="56">
      <c r="A56" s="32">
        <f>IF(32=0,"بداية","شهر 32")</f>
        <v/>
      </c>
      <c r="B56" s="33">
        <f>DATE(YEAR($B$19),MONTH($B$19)+32,1)</f>
        <v/>
      </c>
      <c r="C56" s="34" t="n">
        <v>32</v>
      </c>
      <c r="D56" s="31" t="n"/>
      <c r="E56" s="35">
        <f>IF(32&gt;$B$8,1,CHOOSE(MATCH($B$18,$R$6:$R$9,0),(32/$B$8),3*(32/$B$8)^2-2*(32/$B$8)^3,1-(1-(32/$B$8))^1.6,(32/$B$8)^1.6))</f>
        <v/>
      </c>
      <c r="F56" s="37">
        <f>E56-E55</f>
        <v/>
      </c>
      <c r="G56" s="23">
        <f>F56*$B$7</f>
        <v/>
      </c>
      <c r="H56" s="23">
        <f>F56*$B$7*$B$9</f>
        <v/>
      </c>
      <c r="I56" s="23">
        <f>MIN(G56*$B$10,$B$7*$B$11-SUM(I$24:I55))</f>
        <v/>
      </c>
      <c r="J56" s="23">
        <f>IF(32=$B$8+$B$12,SUM(I$24:I55),0)</f>
        <v/>
      </c>
      <c r="K56" s="23">
        <f>G56-H56-I56+J56</f>
        <v/>
      </c>
      <c r="L56" s="23">
        <f>K56*$B$13</f>
        <v/>
      </c>
      <c r="M56" s="23">
        <f>IF(32-$B$14&gt;=1,INDEX($K$24:$K$60,32-$B$14+1),0)</f>
        <v/>
      </c>
      <c r="N56" s="23">
        <f>IF(32-$B$16&gt;=1,INDEX($F$24:$F$60,32-$B$16+1)*$B$7*$B$15,0)</f>
        <v/>
      </c>
      <c r="O56" s="36">
        <f>M56-N56</f>
        <v/>
      </c>
      <c r="P56" s="36">
        <f>P55+O56</f>
        <v/>
      </c>
    </row>
    <row r="57">
      <c r="A57" s="32">
        <f>IF(33=0,"بداية","شهر 33")</f>
        <v/>
      </c>
      <c r="B57" s="33">
        <f>DATE(YEAR($B$19),MONTH($B$19)+33,1)</f>
        <v/>
      </c>
      <c r="C57" s="34" t="n">
        <v>33</v>
      </c>
      <c r="D57" s="31" t="n"/>
      <c r="E57" s="35">
        <f>IF(33&gt;$B$8,1,CHOOSE(MATCH($B$18,$R$6:$R$9,0),(33/$B$8),3*(33/$B$8)^2-2*(33/$B$8)^3,1-(1-(33/$B$8))^1.6,(33/$B$8)^1.6))</f>
        <v/>
      </c>
      <c r="F57" s="37">
        <f>E57-E56</f>
        <v/>
      </c>
      <c r="G57" s="23">
        <f>F57*$B$7</f>
        <v/>
      </c>
      <c r="H57" s="23">
        <f>F57*$B$7*$B$9</f>
        <v/>
      </c>
      <c r="I57" s="23">
        <f>MIN(G57*$B$10,$B$7*$B$11-SUM(I$24:I56))</f>
        <v/>
      </c>
      <c r="J57" s="23">
        <f>IF(33=$B$8+$B$12,SUM(I$24:I56),0)</f>
        <v/>
      </c>
      <c r="K57" s="23">
        <f>G57-H57-I57+J57</f>
        <v/>
      </c>
      <c r="L57" s="23">
        <f>K57*$B$13</f>
        <v/>
      </c>
      <c r="M57" s="23">
        <f>IF(33-$B$14&gt;=1,INDEX($K$24:$K$60,33-$B$14+1),0)</f>
        <v/>
      </c>
      <c r="N57" s="23">
        <f>IF(33-$B$16&gt;=1,INDEX($F$24:$F$60,33-$B$16+1)*$B$7*$B$15,0)</f>
        <v/>
      </c>
      <c r="O57" s="36">
        <f>M57-N57</f>
        <v/>
      </c>
      <c r="P57" s="36">
        <f>P56+O57</f>
        <v/>
      </c>
    </row>
    <row r="58">
      <c r="A58" s="32">
        <f>IF(34=0,"بداية","شهر 34")</f>
        <v/>
      </c>
      <c r="B58" s="33">
        <f>DATE(YEAR($B$19),MONTH($B$19)+34,1)</f>
        <v/>
      </c>
      <c r="C58" s="34" t="n">
        <v>34</v>
      </c>
      <c r="D58" s="31" t="n"/>
      <c r="E58" s="35">
        <f>IF(34&gt;$B$8,1,CHOOSE(MATCH($B$18,$R$6:$R$9,0),(34/$B$8),3*(34/$B$8)^2-2*(34/$B$8)^3,1-(1-(34/$B$8))^1.6,(34/$B$8)^1.6))</f>
        <v/>
      </c>
      <c r="F58" s="37">
        <f>E58-E57</f>
        <v/>
      </c>
      <c r="G58" s="23">
        <f>F58*$B$7</f>
        <v/>
      </c>
      <c r="H58" s="23">
        <f>F58*$B$7*$B$9</f>
        <v/>
      </c>
      <c r="I58" s="23">
        <f>MIN(G58*$B$10,$B$7*$B$11-SUM(I$24:I57))</f>
        <v/>
      </c>
      <c r="J58" s="23">
        <f>IF(34=$B$8+$B$12,SUM(I$24:I57),0)</f>
        <v/>
      </c>
      <c r="K58" s="23">
        <f>G58-H58-I58+J58</f>
        <v/>
      </c>
      <c r="L58" s="23">
        <f>K58*$B$13</f>
        <v/>
      </c>
      <c r="M58" s="23">
        <f>IF(34-$B$14&gt;=1,INDEX($K$24:$K$60,34-$B$14+1),0)</f>
        <v/>
      </c>
      <c r="N58" s="23">
        <f>IF(34-$B$16&gt;=1,INDEX($F$24:$F$60,34-$B$16+1)*$B$7*$B$15,0)</f>
        <v/>
      </c>
      <c r="O58" s="36">
        <f>M58-N58</f>
        <v/>
      </c>
      <c r="P58" s="36">
        <f>P57+O58</f>
        <v/>
      </c>
    </row>
    <row r="59">
      <c r="A59" s="32">
        <f>IF(35=0,"بداية","شهر 35")</f>
        <v/>
      </c>
      <c r="B59" s="33">
        <f>DATE(YEAR($B$19),MONTH($B$19)+35,1)</f>
        <v/>
      </c>
      <c r="C59" s="34" t="n">
        <v>35</v>
      </c>
      <c r="D59" s="31" t="n"/>
      <c r="E59" s="35">
        <f>IF(35&gt;$B$8,1,CHOOSE(MATCH($B$18,$R$6:$R$9,0),(35/$B$8),3*(35/$B$8)^2-2*(35/$B$8)^3,1-(1-(35/$B$8))^1.6,(35/$B$8)^1.6))</f>
        <v/>
      </c>
      <c r="F59" s="37">
        <f>E59-E58</f>
        <v/>
      </c>
      <c r="G59" s="23">
        <f>F59*$B$7</f>
        <v/>
      </c>
      <c r="H59" s="23">
        <f>F59*$B$7*$B$9</f>
        <v/>
      </c>
      <c r="I59" s="23">
        <f>MIN(G59*$B$10,$B$7*$B$11-SUM(I$24:I58))</f>
        <v/>
      </c>
      <c r="J59" s="23">
        <f>IF(35=$B$8+$B$12,SUM(I$24:I58),0)</f>
        <v/>
      </c>
      <c r="K59" s="23">
        <f>G59-H59-I59+J59</f>
        <v/>
      </c>
      <c r="L59" s="23">
        <f>K59*$B$13</f>
        <v/>
      </c>
      <c r="M59" s="23">
        <f>IF(35-$B$14&gt;=1,INDEX($K$24:$K$60,35-$B$14+1),0)</f>
        <v/>
      </c>
      <c r="N59" s="23">
        <f>IF(35-$B$16&gt;=1,INDEX($F$24:$F$60,35-$B$16+1)*$B$7*$B$15,0)</f>
        <v/>
      </c>
      <c r="O59" s="36">
        <f>M59-N59</f>
        <v/>
      </c>
      <c r="P59" s="36">
        <f>P58+O59</f>
        <v/>
      </c>
    </row>
    <row r="60">
      <c r="A60" s="32">
        <f>IF(36=0,"بداية","شهر 36")</f>
        <v/>
      </c>
      <c r="B60" s="33">
        <f>DATE(YEAR($B$19),MONTH($B$19)+36,1)</f>
        <v/>
      </c>
      <c r="C60" s="34" t="n">
        <v>36</v>
      </c>
      <c r="D60" s="31" t="n"/>
      <c r="E60" s="35">
        <f>IF(36&gt;$B$8,1,CHOOSE(MATCH($B$18,$R$6:$R$9,0),(36/$B$8),3*(36/$B$8)^2-2*(36/$B$8)^3,1-(1-(36/$B$8))^1.6,(36/$B$8)^1.6))</f>
        <v/>
      </c>
      <c r="F60" s="37">
        <f>E60-E59</f>
        <v/>
      </c>
      <c r="G60" s="23">
        <f>F60*$B$7</f>
        <v/>
      </c>
      <c r="H60" s="23">
        <f>F60*$B$7*$B$9</f>
        <v/>
      </c>
      <c r="I60" s="23">
        <f>MIN(G60*$B$10,$B$7*$B$11-SUM(I$24:I59))</f>
        <v/>
      </c>
      <c r="J60" s="23">
        <f>IF(36=$B$8+$B$12,SUM(I$24:I59),0)</f>
        <v/>
      </c>
      <c r="K60" s="23">
        <f>G60-H60-I60+J60</f>
        <v/>
      </c>
      <c r="L60" s="23">
        <f>K60*$B$13</f>
        <v/>
      </c>
      <c r="M60" s="23">
        <f>IF(36-$B$14&gt;=1,INDEX($K$24:$K$60,36-$B$14+1),0)</f>
        <v/>
      </c>
      <c r="N60" s="23">
        <f>IF(36-$B$16&gt;=1,INDEX($F$24:$F$60,36-$B$16+1)*$B$7*$B$15,0)</f>
        <v/>
      </c>
      <c r="O60" s="36">
        <f>M60-N60</f>
        <v/>
      </c>
      <c r="P60" s="36">
        <f>P59+O60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1">
    <mergeCell ref="C34:D34"/>
    <mergeCell ref="C24:D24"/>
    <mergeCell ref="C30:D30"/>
    <mergeCell ref="I5:L5"/>
    <mergeCell ref="I8:L8"/>
    <mergeCell ref="C33:D33"/>
    <mergeCell ref="C42:D42"/>
    <mergeCell ref="C58:D58"/>
    <mergeCell ref="A22:P22"/>
    <mergeCell ref="C45:D45"/>
    <mergeCell ref="I10:L10"/>
    <mergeCell ref="C26:D26"/>
    <mergeCell ref="C35:D35"/>
    <mergeCell ref="A3:R3"/>
    <mergeCell ref="I13:L13"/>
    <mergeCell ref="C29:D29"/>
    <mergeCell ref="C47:D47"/>
    <mergeCell ref="C54:D54"/>
    <mergeCell ref="I9:L9"/>
    <mergeCell ref="C25:D25"/>
    <mergeCell ref="E12:H12"/>
    <mergeCell ref="C41:D41"/>
    <mergeCell ref="C55:D55"/>
    <mergeCell ref="C50:D50"/>
    <mergeCell ref="I6:L6"/>
    <mergeCell ref="C44:D44"/>
    <mergeCell ref="C40:D40"/>
    <mergeCell ref="C31:D31"/>
    <mergeCell ref="A20:C20"/>
    <mergeCell ref="C56:D56"/>
    <mergeCell ref="E5:H5"/>
    <mergeCell ref="I11:L11"/>
    <mergeCell ref="C59:D59"/>
    <mergeCell ref="M5:P5"/>
    <mergeCell ref="C43:D43"/>
    <mergeCell ref="I12:P12"/>
    <mergeCell ref="C46:D46"/>
    <mergeCell ref="E8:H8"/>
    <mergeCell ref="C60:D60"/>
    <mergeCell ref="C51:D51"/>
    <mergeCell ref="C27:D27"/>
    <mergeCell ref="C36:D36"/>
    <mergeCell ref="C52:D52"/>
    <mergeCell ref="C48:D48"/>
    <mergeCell ref="C23:D23"/>
    <mergeCell ref="E10:H10"/>
    <mergeCell ref="C39:D39"/>
    <mergeCell ref="E13:H13"/>
    <mergeCell ref="C32:D32"/>
    <mergeCell ref="C38:D38"/>
    <mergeCell ref="E9:H9"/>
    <mergeCell ref="A6:C6"/>
    <mergeCell ref="C37:D37"/>
    <mergeCell ref="C57:D57"/>
    <mergeCell ref="E6:H6"/>
    <mergeCell ref="C28:D28"/>
    <mergeCell ref="M6:P6"/>
    <mergeCell ref="A1:R1"/>
    <mergeCell ref="C53:D53"/>
    <mergeCell ref="E11:H11"/>
    <mergeCell ref="C49:D49"/>
  </mergeCells>
  <conditionalFormatting sqref="P24:P60">
    <cfRule type="expression" priority="1" dxfId="0">
      <formula>$P24&lt;0</formula>
    </cfRule>
    <cfRule type="expression" priority="2" dxfId="1">
      <formula>AND($P24&gt;=0,$P24=MAX($P$24:$P$60))</formula>
    </cfRule>
  </conditionalFormatting>
  <conditionalFormatting sqref="A24:P60">
    <cfRule type="expression" priority="3" dxfId="2">
      <formula>$C24&gt;$B$8+$B$12</formula>
    </cfRule>
  </conditionalFormatting>
  <dataValidations count="13">
    <dataValidation sqref="B7" showDropDown="0" showInputMessage="0" showErrorMessage="1" allowBlank="1" errorTitle="Sheetaky" error="أدخل رقمًا بين 1 و 10000000000" type="decimal" operator="between">
      <formula1>1</formula1>
      <formula2>10000000000</formula2>
    </dataValidation>
    <dataValidation sqref="B8" showDropDown="0" showInputMessage="0" showErrorMessage="1" allowBlank="1" errorTitle="Sheetaky" error="أدخل رقمًا بين 1 و 24" type="decimal" operator="between">
      <formula1>1</formula1>
      <formula2>24</formula2>
    </dataValidation>
    <dataValidation sqref="B9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10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B11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B12" showDropDown="0" showInputMessage="0" showErrorMessage="1" allowBlank="1" errorTitle="Sheetaky" error="أدخل رقمًا بين 0 و 12" type="decimal" operator="between">
      <formula1>0</formula1>
      <formula2>12</formula2>
    </dataValidation>
    <dataValidation sqref="B13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B14" showDropDown="0" showInputMessage="0" showErrorMessage="1" allowBlank="1" errorTitle="Sheetaky" error="أدخل رقمًا بين 0 و 6" type="decimal" operator="between">
      <formula1>0</formula1>
      <formula2>6</formula2>
    </dataValidation>
    <dataValidation sqref="B15" showDropDown="0" showInputMessage="0" showErrorMessage="1" allowBlank="1" errorTitle="Sheetaky" error="أدخل رقمًا بين 0.3 و 1.2" type="decimal" operator="between">
      <formula1>0.3</formula1>
      <formula2>1.2</formula2>
    </dataValidation>
    <dataValidation sqref="B16" showDropDown="0" showInputMessage="0" showErrorMessage="1" allowBlank="1" errorTitle="Sheetaky" error="أدخل رقمًا بين 0 و 6" type="decimal" operator="between">
      <formula1>0</formula1>
      <formula2>6</formula2>
    </dataValidation>
    <dataValidation sqref="B17" showDropDown="0" showInputMessage="0" showErrorMessage="1" allowBlank="1" errorTitle="Sheetaky" error="أدخل رقمًا بين 0 و 0.4" type="decimal" operator="between">
      <formula1>0</formula1>
      <formula2>0.4</formula2>
    </dataValidation>
    <dataValidation sqref="B18" showDropDown="0" showInputMessage="0" showErrorMessage="1" allowBlank="1" errorTitle="Sheetaky" error="اختر قيمة من القائمة" type="list">
      <formula1>=$R$6:$R$9</formula1>
    </dataValidation>
    <dataValidation sqref="B19" showDropDown="0" showInputMessage="0" showErrorMessage="1" allowBlank="1" errorTitle="Sheetaky" error="أدخل تاريخًا صحيحًا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دليل استخدام: التدفق النقدي للعقد</t>
        </is>
      </c>
      <c r="B1" s="2" t="n"/>
    </row>
    <row r="2" ht="18" customHeight="1">
      <c r="A2" s="39" t="inlineStr">
        <is>
          <t>Sheetaky.com · شيتات إكسل جاهزة بالعربي والإنجليزي</t>
        </is>
      </c>
      <c r="B2" s="40" t="n"/>
    </row>
    <row r="4" ht="22" customHeight="1">
      <c r="A4" s="11" t="inlineStr">
        <is>
          <t>ما هذا الشيت؟</t>
        </is>
      </c>
      <c r="B4" s="12" t="n"/>
    </row>
    <row r="5" ht="30" customHeight="1">
      <c r="A5" s="41" t="inlineStr">
        <is>
          <t>يرسم المستخلصات الشهرية للعقد ويحسب الدفعة المقدمة والمحتجز والضريبة وما يقبضه المقاول وما يدفعه، ثم أقصى تمويل مطلوب وتكلفته.</t>
        </is>
      </c>
    </row>
    <row r="7" ht="22" customHeight="1">
      <c r="A7" s="11" t="inlineStr">
        <is>
          <t>خطوات الاستخدام</t>
        </is>
      </c>
      <c r="B7" s="12" t="n"/>
    </row>
    <row r="8" ht="20" customHeight="1">
      <c r="A8" s="42" t="n">
        <v>1</v>
      </c>
      <c r="B8" s="41" t="inlineStr">
        <is>
          <t>اكتب قيمة العقد ومدته وتاريخ البدء واختر منحنى التنفيذ.</t>
        </is>
      </c>
    </row>
    <row r="9" ht="20" customHeight="1">
      <c r="A9" s="42" t="n">
        <v>2</v>
      </c>
      <c r="B9" s="41" t="inlineStr">
        <is>
          <t>اضبط الدفعة المقدمة والمحتجز والضريبة وتأخر القبض.</t>
        </is>
      </c>
    </row>
    <row r="10" ht="20" customHeight="1">
      <c r="A10" s="42" t="n">
        <v>3</v>
      </c>
      <c r="B10" s="41" t="inlineStr">
        <is>
          <t>اكتب نسبة تكلفتك من العقد وتأخر دفع الموردين.</t>
        </is>
      </c>
    </row>
    <row r="11" ht="20" customHeight="1">
      <c r="A11" s="42" t="n">
        <v>4</v>
      </c>
      <c r="B11" s="41" t="inlineStr">
        <is>
          <t>اقرأ أقصى تمويل وشهره وتكلفة التمويل، وجرّب منحنى آخر.</t>
        </is>
      </c>
    </row>
    <row r="13" ht="22" customHeight="1">
      <c r="A13" s="11" t="inlineStr">
        <is>
          <t>دليل الألوان</t>
        </is>
      </c>
      <c r="B13" s="12" t="n"/>
    </row>
    <row r="14">
      <c r="A14" s="43" t="inlineStr"/>
      <c r="B14" s="41" t="inlineStr">
        <is>
          <t>خلية إدخال: اكتب أو اختر قيمتك هنا (خط أزرق على خلفية صفراء).</t>
        </is>
      </c>
    </row>
    <row r="15">
      <c r="A15" s="44" t="inlineStr"/>
      <c r="B15" s="41" t="inlineStr">
        <is>
          <t>خلية محسوبة: معادلة تلقائية، محمية من المسح بالخطأ.</t>
        </is>
      </c>
    </row>
    <row r="16">
      <c r="A16" s="45" t="inlineStr"/>
      <c r="B16" s="41" t="inlineStr">
        <is>
          <t>عناوين الجداول والأقسام.</t>
        </is>
      </c>
    </row>
    <row r="18" ht="22" customHeight="1">
      <c r="A18" s="11" t="inlineStr">
        <is>
          <t>ملاحظات مهمة</t>
        </is>
      </c>
      <c r="B18" s="12" t="n"/>
    </row>
    <row r="19" ht="20" customHeight="1">
      <c r="A19" s="46" t="inlineStr">
        <is>
          <t>•</t>
        </is>
      </c>
      <c r="B19" s="47" t="inlineStr">
        <is>
          <t>المدة القصوى 24 شهرًا والجدول يمتد 36 شهرًا لإفراج المحتجز.</t>
        </is>
      </c>
    </row>
    <row r="20" ht="20" customHeight="1">
      <c r="A20" s="46" t="inlineStr">
        <is>
          <t>•</t>
        </is>
      </c>
      <c r="B20" s="47" t="inlineStr">
        <is>
          <t>منحنى S هو الأقرب للواقع في معظم المشاريع.</t>
        </is>
      </c>
    </row>
    <row r="21" ht="20" customHeight="1">
      <c r="A21" s="46" t="inlineStr">
        <is>
          <t>•</t>
        </is>
      </c>
      <c r="B21" s="47" t="inlineStr">
        <is>
          <t>تقدير مالي مبسط وليس استشارة ضريبية أو مالية.</t>
        </is>
      </c>
    </row>
    <row r="22" ht="20" customHeight="1">
      <c r="A22" s="46" t="inlineStr">
        <is>
          <t>•</t>
        </is>
      </c>
      <c r="B22" s="47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6" t="inlineStr">
        <is>
          <t>•</t>
        </is>
      </c>
      <c r="B23" s="47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6" t="inlineStr">
        <is>
          <t>•</t>
        </is>
      </c>
      <c r="B24" s="4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CSH</dc:title>
  <dcterms:created xmlns:dcterms="http://purl.org/dc/terms/" xmlns:xsi="http://www.w3.org/2001/XMLSchema-instance" xsi:type="dcterms:W3CDTF">2026-10-23T13:03:44Z</dcterms:created>
  <dcterms:modified xmlns:dcterms="http://purl.org/dc/terms/" xmlns:xsi="http://www.w3.org/2001/XMLSchema-instance" xsi:type="dcterms:W3CDTF">2026-10-23T13:03:44Z</dcterms:modified>
</cp:coreProperties>
</file>