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raverse" sheetId="1" state="visible" r:id="rId1"/>
    <sheet xmlns:r="http://schemas.openxmlformats.org/officeDocument/2006/relationships" name="Calculation" sheetId="2" state="visible" r:id="rId2"/>
    <sheet xmlns:r="http://schemas.openxmlformats.org/officeDocument/2006/relationships" name="AutoCAD" sheetId="3" state="visible" r:id="rId3"/>
    <sheet xmlns:r="http://schemas.openxmlformats.org/officeDocument/2006/relationships" name="Guide" sheetId="4" state="visible" r:id="rId4"/>
  </sheets>
  <definedNames/>
  <calcPr calcId="124519" fullCalcOnLoad="1"/>
</workbook>
</file>

<file path=xl/styles.xml><?xml version="1.0" encoding="utf-8"?>
<styleSheet xmlns="http://schemas.openxmlformats.org/spreadsheetml/2006/main">
  <numFmts count="5">
    <numFmt numFmtId="164" formatCode="0.000"/>
    <numFmt numFmtId="165" formatCode="0.0"/>
    <numFmt numFmtId="166" formatCode="0.0000"/>
    <numFmt numFmtId="167" formatCode="#,##0.000"/>
    <numFmt numFmtId="168" formatCode="0.00000"/>
  </numFmts>
  <fonts count="11">
    <font>
      <name val="Calibri"/>
      <family val="2"/>
      <color theme="1"/>
      <sz val="11"/>
      <scheme val="minor"/>
    </font>
    <font>
      <name val="Arial"/>
      <b val="1"/>
      <color rgb="00FFFFFF"/>
      <sz val="16"/>
    </font>
    <font>
      <name val="Arial"/>
      <color rgb="00FFFFFF"/>
      <sz val="9"/>
    </font>
    <font>
      <name val="Arial"/>
      <b val="1"/>
      <color rgb="000F4527"/>
      <sz val="11"/>
    </font>
    <font>
      <name val="Arial"/>
      <b val="1"/>
      <color rgb="001F2A24"/>
      <sz val="10"/>
    </font>
    <font>
      <name val="Arial"/>
      <color rgb="001F4FB5"/>
      <sz val="10"/>
    </font>
    <font>
      <name val="Arial"/>
      <b val="1"/>
      <color rgb="00FFFFFF"/>
      <sz val="10"/>
    </font>
    <font>
      <name val="Arial"/>
      <color rgb="001F2A24"/>
      <sz val="10"/>
    </font>
    <font>
      <name val="Arial"/>
      <color rgb="005A665F"/>
      <sz val="9"/>
    </font>
    <font>
      <name val="Arial"/>
      <i val="1"/>
      <color rgb="005A665F"/>
      <sz val="9"/>
    </font>
    <font>
      <name val="Arial"/>
      <b val="1"/>
      <color rgb="00E8A317"/>
      <sz val="10"/>
    </font>
  </fonts>
  <fills count="8">
    <fill>
      <patternFill/>
    </fill>
    <fill>
      <patternFill patternType="gray125"/>
    </fill>
    <fill>
      <patternFill patternType="solid">
        <fgColor rgb="0017603A"/>
      </patternFill>
    </fill>
    <fill>
      <patternFill patternType="solid">
        <fgColor rgb="000F4527"/>
      </patternFill>
    </fill>
    <fill>
      <patternFill patternType="solid">
        <fgColor rgb="00EEF3EF"/>
      </patternFill>
    </fill>
    <fill>
      <patternFill patternType="solid">
        <fgColor rgb="00FFF6DD"/>
      </patternFill>
    </fill>
    <fill>
      <patternFill patternType="solid">
        <fgColor rgb="00E8F1EA"/>
      </patternFill>
    </fill>
    <fill>
      <patternFill patternType="solid">
        <fgColor rgb="00D9EAD3"/>
      </patternFill>
    </fill>
  </fills>
  <borders count="5">
    <border>
      <left/>
      <right/>
      <top/>
      <bottom/>
      <diagonal/>
    </border>
    <border>
      <left style="thin">
        <color rgb="00C9CFC9"/>
      </left>
      <right style="thin">
        <color rgb="00C9CFC9"/>
      </right>
      <top style="thin">
        <color rgb="00C9CFC9"/>
      </top>
      <bottom style="thin">
        <color rgb="00C9CFC9"/>
      </bottom>
    </border>
    <border>
      <left/>
      <right/>
      <top style="thin">
        <color rgb="00C9CFC9"/>
      </top>
      <bottom/>
      <diagonal/>
    </border>
    <border>
      <left/>
      <right style="thin">
        <color rgb="00C9CFC9"/>
      </right>
      <top style="thin">
        <color rgb="00C9CFC9"/>
      </top>
      <bottom/>
      <diagonal/>
    </border>
    <border>
      <left/>
      <right style="thin">
        <color rgb="00C9CFC9"/>
      </right>
      <top style="thin">
        <color rgb="00C9CFC9"/>
      </top>
      <bottom style="thin">
        <color rgb="00C9CFC9"/>
      </bottom>
      <diagonal/>
    </border>
  </borders>
  <cellStyleXfs count="1">
    <xf numFmtId="0" fontId="0" fillId="0" borderId="0"/>
  </cellStyleXfs>
  <cellXfs count="38">
    <xf numFmtId="0" fontId="0" fillId="0" borderId="0" pivotButton="0" quotePrefix="0" xfId="0"/>
    <xf numFmtId="0" fontId="1" fillId="2" borderId="0" applyAlignment="1" pivotButton="0" quotePrefix="0" xfId="0">
      <alignment horizontal="center" vertical="center" wrapText="1" readingOrder="1"/>
    </xf>
    <xf numFmtId="0" fontId="0" fillId="2" borderId="0" pivotButton="0" quotePrefix="0" xfId="0"/>
    <xf numFmtId="0" fontId="2" fillId="3" borderId="0" applyAlignment="1" pivotButton="0" quotePrefix="0" xfId="0">
      <alignment horizontal="center" vertical="center" wrapText="1" readingOrder="1"/>
    </xf>
    <xf numFmtId="0" fontId="0" fillId="3" borderId="0" pivotButton="0" quotePrefix="0" xfId="0"/>
    <xf numFmtId="0" fontId="3" fillId="4" borderId="1" applyAlignment="1" pivotButton="0" quotePrefix="0" xfId="0">
      <alignment horizontal="left" vertical="center" wrapText="1" readingOrder="1"/>
    </xf>
    <xf numFmtId="0" fontId="0" fillId="4" borderId="1" pivotButton="0" quotePrefix="0" xfId="0"/>
    <xf numFmtId="0" fontId="4" fillId="4" borderId="1" applyAlignment="1" pivotButton="0" quotePrefix="0" xfId="0">
      <alignment horizontal="center" vertical="center" wrapText="1" readingOrder="1"/>
    </xf>
    <xf numFmtId="0" fontId="4" fillId="0" borderId="1" applyAlignment="1" pivotButton="0" quotePrefix="0" xfId="0">
      <alignment horizontal="left" vertical="center" wrapText="1" readingOrder="1"/>
    </xf>
    <xf numFmtId="0" fontId="0" fillId="0" borderId="1" pivotButton="0" quotePrefix="0" xfId="0"/>
    <xf numFmtId="164" fontId="5" fillId="5" borderId="1" applyAlignment="1" applyProtection="1" pivotButton="0" quotePrefix="0" xfId="0">
      <alignment horizontal="center" vertical="center" wrapText="1" readingOrder="1"/>
      <protection locked="0" hidden="0"/>
    </xf>
    <xf numFmtId="0" fontId="0" fillId="0" borderId="1" applyProtection="1" pivotButton="0" quotePrefix="0" xfId="0">
      <protection locked="0" hidden="0"/>
    </xf>
    <xf numFmtId="0" fontId="4" fillId="0" borderId="1" applyAlignment="1" pivotButton="0" quotePrefix="0" xfId="0">
      <alignment horizontal="center" vertical="center" wrapText="1" readingOrder="1"/>
    </xf>
    <xf numFmtId="1" fontId="7" fillId="6" borderId="1" applyAlignment="1" pivotButton="0" quotePrefix="0" xfId="0">
      <alignment horizontal="center" vertical="center" wrapText="1" readingOrder="1"/>
    </xf>
    <xf numFmtId="0" fontId="0" fillId="6" borderId="1" pivotButton="0" quotePrefix="0" xfId="0"/>
    <xf numFmtId="0" fontId="7" fillId="6" borderId="1" applyAlignment="1" pivotButton="0" quotePrefix="0" xfId="0">
      <alignment horizontal="center" vertical="center" wrapText="1" readingOrder="1"/>
    </xf>
    <xf numFmtId="1" fontId="5" fillId="5" borderId="1" applyAlignment="1" applyProtection="1" pivotButton="0" quotePrefix="0" xfId="0">
      <alignment horizontal="center" vertical="center" wrapText="1" readingOrder="1"/>
      <protection locked="0" hidden="0"/>
    </xf>
    <xf numFmtId="165" fontId="5" fillId="5" borderId="1" applyAlignment="1" applyProtection="1" pivotButton="0" quotePrefix="0" xfId="0">
      <alignment horizontal="center" vertical="center" wrapText="1" readingOrder="1"/>
      <protection locked="0" hidden="0"/>
    </xf>
    <xf numFmtId="166" fontId="7" fillId="6" borderId="1" applyAlignment="1" pivotButton="0" quotePrefix="0" xfId="0">
      <alignment horizontal="center" vertical="center" wrapText="1" readingOrder="1"/>
    </xf>
    <xf numFmtId="0" fontId="5" fillId="5" borderId="1" applyAlignment="1" applyProtection="1" pivotButton="0" quotePrefix="0" xfId="0">
      <alignment horizontal="center" vertical="center" wrapText="1" readingOrder="1"/>
      <protection locked="0" hidden="0"/>
    </xf>
    <xf numFmtId="165" fontId="4" fillId="6" borderId="1" applyAlignment="1" pivotButton="0" quotePrefix="0" xfId="0">
      <alignment horizontal="center" vertical="center" wrapText="1" readingOrder="1"/>
    </xf>
    <xf numFmtId="165" fontId="7" fillId="6" borderId="1" applyAlignment="1" pivotButton="0" quotePrefix="0" xfId="0">
      <alignment horizontal="center" vertical="center" wrapText="1" readingOrder="1"/>
    </xf>
    <xf numFmtId="0" fontId="6" fillId="2" borderId="1" applyAlignment="1" pivotButton="0" quotePrefix="0" xfId="0">
      <alignment horizontal="center" vertical="center" wrapText="1" readingOrder="1"/>
    </xf>
    <xf numFmtId="164" fontId="7" fillId="6" borderId="1" applyAlignment="1" pivotButton="0" quotePrefix="0" xfId="0">
      <alignment horizontal="center" vertical="center" wrapText="1" readingOrder="1"/>
    </xf>
    <xf numFmtId="166" fontId="4" fillId="6" borderId="1" applyAlignment="1" pivotButton="0" quotePrefix="0" xfId="0">
      <alignment horizontal="center" vertical="center" wrapText="1" readingOrder="1"/>
    </xf>
    <xf numFmtId="3" fontId="4" fillId="6" borderId="1" applyAlignment="1" pivotButton="0" quotePrefix="0" xfId="0">
      <alignment horizontal="center" vertical="center" wrapText="1" readingOrder="1"/>
    </xf>
    <xf numFmtId="167" fontId="4" fillId="7" borderId="1" applyAlignment="1" pivotButton="0" quotePrefix="0" xfId="0">
      <alignment horizontal="center" vertical="center" wrapText="1" readingOrder="1"/>
    </xf>
    <xf numFmtId="0" fontId="0" fillId="7" borderId="1" pivotButton="0" quotePrefix="0" xfId="0"/>
    <xf numFmtId="168" fontId="7" fillId="6" borderId="1" applyAlignment="1" pivotButton="0" quotePrefix="0" xfId="0">
      <alignment horizontal="center" vertical="center" wrapText="1" readingOrder="1"/>
    </xf>
    <xf numFmtId="0" fontId="7" fillId="0" borderId="1" applyAlignment="1" pivotButton="0" quotePrefix="0" xfId="0">
      <alignment horizontal="left" vertical="center" wrapText="1" readingOrder="1"/>
    </xf>
    <xf numFmtId="0" fontId="8" fillId="0" borderId="1" applyAlignment="1" pivotButton="0" quotePrefix="0" xfId="0">
      <alignment horizontal="center" vertical="center" wrapText="1" readingOrder="1"/>
    </xf>
    <xf numFmtId="0" fontId="9" fillId="0" borderId="0" applyAlignment="1" pivotButton="0" quotePrefix="0" xfId="0">
      <alignment horizontal="left" vertical="center" wrapText="1" readingOrder="1"/>
    </xf>
    <xf numFmtId="0" fontId="6" fillId="2" borderId="1" applyAlignment="1" pivotButton="0" quotePrefix="0" xfId="0">
      <alignment horizontal="left" vertical="center" wrapText="1" readingOrder="1"/>
    </xf>
    <xf numFmtId="0" fontId="5" fillId="5" borderId="1" applyAlignment="1" applyProtection="1" pivotButton="0" quotePrefix="0" xfId="0">
      <alignment horizontal="left" vertical="center" wrapText="1" readingOrder="1"/>
      <protection locked="0" hidden="0"/>
    </xf>
    <xf numFmtId="0" fontId="7" fillId="6" borderId="1" applyAlignment="1" pivotButton="0" quotePrefix="0" xfId="0">
      <alignment horizontal="left" vertical="center" wrapText="1" readingOrder="1"/>
    </xf>
    <xf numFmtId="0" fontId="7" fillId="2" borderId="1" applyAlignment="1" pivotButton="0" quotePrefix="0" xfId="0">
      <alignment horizontal="left" vertical="center" wrapText="1" readingOrder="1"/>
    </xf>
    <xf numFmtId="0" fontId="10" fillId="0" borderId="0" applyAlignment="1" pivotButton="0" quotePrefix="0" xfId="0">
      <alignment horizontal="left" vertical="center" wrapText="1" readingOrder="1"/>
    </xf>
    <xf numFmtId="0" fontId="7" fillId="0" borderId="0" applyAlignment="1" pivotButton="0" quotePrefix="0" xfId="0">
      <alignment horizontal="left" vertical="center" wrapText="1" readingOrder="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17603A"/>
    <outlinePr summaryBelow="1" summaryRight="1"/>
    <pageSetUpPr fitToPage="1"/>
  </sheetPr>
  <dimension ref="A1:L24"/>
  <sheetViews>
    <sheetView showGridLines="0" rightToLeft="0" zoomScale="100" workbookViewId="0">
      <pane ySplit="12" topLeftCell="A13" activePane="bottomLeft" state="frozen"/>
      <selection pane="bottomLeft" activeCell="A1" sqref="A1"/>
    </sheetView>
  </sheetViews>
  <sheetFormatPr baseColWidth="8" defaultRowHeight="15"/>
  <cols>
    <col width="10" customWidth="1" min="1" max="1"/>
    <col width="9" customWidth="1" min="2" max="2"/>
    <col width="7" customWidth="1" min="3" max="3"/>
    <col width="8" customWidth="1" min="4" max="4"/>
    <col width="14" customWidth="1" min="5" max="5"/>
    <col width="4" customWidth="1" min="6" max="6"/>
    <col width="4" customWidth="1" min="7" max="7"/>
    <col width="14" customWidth="1" min="8" max="8"/>
    <col width="8" customWidth="1" min="9" max="9"/>
    <col width="8" customWidth="1" min="10" max="10"/>
    <col width="14" customWidth="1" min="11" max="11"/>
    <col width="14" customWidth="1" min="12" max="12"/>
  </cols>
  <sheetData>
    <row r="1" ht="36" customHeight="1">
      <c r="A1" s="1" t="inlineStr">
        <is>
          <t>Closed Traverse Computation and Bowditch Adjustment</t>
        </is>
      </c>
      <c r="B1" s="2" t="n"/>
      <c r="C1" s="2" t="n"/>
      <c r="D1" s="2" t="n"/>
      <c r="E1" s="2" t="n"/>
      <c r="F1" s="2" t="n"/>
      <c r="G1" s="2" t="n"/>
      <c r="H1" s="2" t="n"/>
      <c r="I1" s="2" t="n"/>
      <c r="J1" s="2" t="n"/>
      <c r="K1" s="2" t="n"/>
      <c r="L1" s="2" t="n"/>
    </row>
    <row r="2" ht="18" customHeight="1">
      <c r="A2" s="3" t="inlineStr">
        <is>
          <t>Enter measured interior angles and distances; the sheet adjusts the angles, spreads the misclosure and gives final coordinates</t>
        </is>
      </c>
      <c r="B2" s="4" t="n"/>
      <c r="C2" s="4" t="n"/>
      <c r="D2" s="4" t="n"/>
      <c r="E2" s="4" t="n"/>
      <c r="F2" s="4" t="n"/>
      <c r="G2" s="4" t="n"/>
      <c r="H2" s="4" t="n"/>
      <c r="I2" s="4" t="n"/>
      <c r="J2" s="4" t="n"/>
      <c r="K2" s="4" t="n"/>
      <c r="L2" s="4" t="n"/>
    </row>
    <row r="3"/>
    <row r="4" ht="22" customHeight="1">
      <c r="A4" s="5" t="inlineStr">
        <is>
          <t>Starting data</t>
        </is>
      </c>
      <c r="B4" s="6" t="n"/>
      <c r="C4" s="6" t="n"/>
      <c r="D4" s="6" t="n"/>
      <c r="E4" s="6" t="n"/>
      <c r="H4" s="7" t="inlineStr">
        <is>
          <t>Results</t>
        </is>
      </c>
      <c r="I4" s="6" t="n"/>
      <c r="J4" s="6" t="n"/>
      <c r="K4" s="6" t="n"/>
      <c r="L4" s="6" t="n"/>
    </row>
    <row r="5">
      <c r="A5" s="8" t="inlineStr">
        <is>
          <t>Station 1 northing</t>
        </is>
      </c>
      <c r="B5" s="9" t="n"/>
      <c r="C5" s="9" t="n"/>
      <c r="D5" s="10" t="n">
        <v>5000</v>
      </c>
      <c r="E5" s="11" t="n"/>
      <c r="H5" s="12" t="inlineStr">
        <is>
          <t>Stations</t>
        </is>
      </c>
      <c r="I5" s="9" t="n"/>
      <c r="J5" s="9" t="n"/>
      <c r="K5" s="13">
        <f>COUNT($E$13:$E$24)</f>
        <v/>
      </c>
      <c r="L5" s="14" t="n"/>
    </row>
    <row r="6">
      <c r="A6" s="8" t="inlineStr">
        <is>
          <t>Station 1 easting</t>
        </is>
      </c>
      <c r="B6" s="9" t="n"/>
      <c r="C6" s="9" t="n"/>
      <c r="D6" s="10" t="n">
        <v>5000</v>
      </c>
      <c r="E6" s="11" t="n"/>
      <c r="H6" s="12" t="inlineStr">
        <is>
          <t>Row sequence</t>
        </is>
      </c>
      <c r="I6" s="9" t="n"/>
      <c r="J6" s="9" t="n"/>
      <c r="K6" s="15">
        <f>IF(AND($K$5&gt;=3,SUMPRODUCT(--ISNUMBER($E$13:INDEX($E$13:$E$24,$K$5)))=$K$5),"OK ✓","Enter 3+ stations, no empty rows")</f>
        <v/>
      </c>
      <c r="L6" s="14" t="n"/>
    </row>
    <row r="7">
      <c r="A7" s="8" t="inlineStr">
        <is>
          <t>Azimuth line 1→2</t>
        </is>
      </c>
      <c r="B7" s="9" t="n"/>
      <c r="C7" s="16" t="n">
        <v>60</v>
      </c>
      <c r="D7" s="16" t="n">
        <v>33</v>
      </c>
      <c r="E7" s="17" t="n">
        <v>48</v>
      </c>
      <c r="H7" s="12" t="inlineStr">
        <is>
          <t>Sum of measured angles °</t>
        </is>
      </c>
      <c r="I7" s="9" t="n"/>
      <c r="J7" s="9" t="n"/>
      <c r="K7" s="18">
        <f>SUM('Calculation'!$B$13:$B$24)</f>
        <v/>
      </c>
      <c r="L7" s="14" t="n"/>
    </row>
    <row r="8">
      <c r="A8" s="8" t="inlineStr">
        <is>
          <t>Travel direction</t>
        </is>
      </c>
      <c r="B8" s="9" t="n"/>
      <c r="C8" s="9" t="n"/>
      <c r="D8" s="19" t="inlineStr">
        <is>
          <t>Clockwise</t>
        </is>
      </c>
      <c r="E8" s="11" t="n"/>
      <c r="H8" s="12" t="inlineStr">
        <is>
          <t>Theoretical (n−2)×180</t>
        </is>
      </c>
      <c r="I8" s="9" t="n"/>
      <c r="J8" s="9" t="n"/>
      <c r="K8" s="18">
        <f>IF($K$5&gt;=3,($K$5-2)*180,0)</f>
        <v/>
      </c>
      <c r="L8" s="14" t="n"/>
    </row>
    <row r="9">
      <c r="A9" s="8" t="inlineStr">
        <is>
          <t>Angle constant (″ per √n)</t>
        </is>
      </c>
      <c r="B9" s="9" t="n"/>
      <c r="C9" s="9" t="n"/>
      <c r="D9" s="16" t="n">
        <v>15</v>
      </c>
      <c r="E9" s="11" t="n"/>
      <c r="H9" s="12" t="inlineStr">
        <is>
          <t>Angular error (″)</t>
        </is>
      </c>
      <c r="I9" s="9" t="n"/>
      <c r="J9" s="9" t="n"/>
      <c r="K9" s="20">
        <f>($K$7-$K$8)*3600</f>
        <v/>
      </c>
      <c r="L9" s="14" t="n"/>
    </row>
    <row r="10">
      <c r="H10" s="12" t="inlineStr">
        <is>
          <t>Allowable (″)</t>
        </is>
      </c>
      <c r="I10" s="9" t="n"/>
      <c r="J10" s="9" t="n"/>
      <c r="K10" s="21">
        <f>$D$9*SQRT($K$5)</f>
        <v/>
      </c>
      <c r="L10" s="14" t="n"/>
    </row>
    <row r="11" ht="22" customHeight="1">
      <c r="A11" s="5" t="inlineStr">
        <is>
          <t>Measurements</t>
        </is>
      </c>
      <c r="B11" s="6" t="n"/>
      <c r="C11" s="6" t="n"/>
      <c r="D11" s="6" t="n"/>
      <c r="E11" s="6" t="n"/>
      <c r="H11" s="12" t="inlineStr">
        <is>
          <t>Angle check</t>
        </is>
      </c>
      <c r="I11" s="9" t="n"/>
      <c r="J11" s="9" t="n"/>
      <c r="K11" s="15">
        <f>IF(ABS($K$9)&lt;=$K$10,"Accepted ✓","Exceeds allowance ✗ re-measure")</f>
        <v/>
      </c>
      <c r="L11" s="14" t="n"/>
    </row>
    <row r="12" ht="44" customHeight="1">
      <c r="A12" s="22" t="inlineStr">
        <is>
          <t>Station</t>
        </is>
      </c>
      <c r="B12" s="22" t="inlineStr">
        <is>
          <t>Interior angle °</t>
        </is>
      </c>
      <c r="C12" s="22" t="inlineStr">
        <is>
          <t>′</t>
        </is>
      </c>
      <c r="D12" s="22" t="inlineStr">
        <is>
          <t>″</t>
        </is>
      </c>
      <c r="E12" s="22" t="inlineStr">
        <is>
          <t>Distance to next (m)</t>
        </is>
      </c>
      <c r="H12" s="12" t="inlineStr">
        <is>
          <t>Perimeter (m)</t>
        </is>
      </c>
      <c r="I12" s="9" t="n"/>
      <c r="J12" s="9" t="n"/>
      <c r="K12" s="23">
        <f>SUM($E$13:$E$24)</f>
        <v/>
      </c>
      <c r="L12" s="14" t="n"/>
    </row>
    <row r="13">
      <c r="A13" s="19" t="inlineStr">
        <is>
          <t>1</t>
        </is>
      </c>
      <c r="B13" s="16" t="n">
        <v>107</v>
      </c>
      <c r="C13" s="16" t="n">
        <v>56</v>
      </c>
      <c r="D13" s="17" t="n">
        <v>4</v>
      </c>
      <c r="E13" s="10" t="n">
        <v>126.799</v>
      </c>
      <c r="H13" s="12" t="inlineStr">
        <is>
          <t>Sum of ΔN (m)</t>
        </is>
      </c>
      <c r="I13" s="9" t="n"/>
      <c r="J13" s="9" t="n"/>
      <c r="K13" s="18">
        <f>SUM('Calculation'!$F$13:$F$24)</f>
        <v/>
      </c>
      <c r="L13" s="14" t="n"/>
    </row>
    <row r="14">
      <c r="A14" s="19" t="inlineStr">
        <is>
          <t>2</t>
        </is>
      </c>
      <c r="B14" s="16" t="n">
        <v>122</v>
      </c>
      <c r="C14" s="16" t="n">
        <v>1</v>
      </c>
      <c r="D14" s="17" t="n">
        <v>16</v>
      </c>
      <c r="E14" s="10" t="n">
        <v>90.81699999999999</v>
      </c>
      <c r="H14" s="12" t="inlineStr">
        <is>
          <t>Sum of ΔE (m)</t>
        </is>
      </c>
      <c r="I14" s="9" t="n"/>
      <c r="J14" s="9" t="n"/>
      <c r="K14" s="18">
        <f>SUM('Calculation'!$G$13:$G$24)</f>
        <v/>
      </c>
      <c r="L14" s="14" t="n"/>
    </row>
    <row r="15">
      <c r="A15" s="19" t="inlineStr">
        <is>
          <t>3</t>
        </is>
      </c>
      <c r="B15" s="16" t="n">
        <v>109</v>
      </c>
      <c r="C15" s="16" t="n">
        <v>55</v>
      </c>
      <c r="D15" s="17" t="n">
        <v>37</v>
      </c>
      <c r="E15" s="10" t="n">
        <v>89.45699999999999</v>
      </c>
      <c r="H15" s="12" t="inlineStr">
        <is>
          <t>Linear misclosure (m)</t>
        </is>
      </c>
      <c r="I15" s="9" t="n"/>
      <c r="J15" s="9" t="n"/>
      <c r="K15" s="24">
        <f>SQRT($K$13^2+$K$14^2)</f>
        <v/>
      </c>
      <c r="L15" s="14" t="n"/>
    </row>
    <row r="16">
      <c r="A16" s="19" t="inlineStr">
        <is>
          <t>4</t>
        </is>
      </c>
      <c r="B16" s="16" t="n">
        <v>119</v>
      </c>
      <c r="C16" s="16" t="n">
        <v>25</v>
      </c>
      <c r="D16" s="17" t="n">
        <v>17</v>
      </c>
      <c r="E16" s="10" t="n">
        <v>99.352</v>
      </c>
      <c r="H16" s="12" t="inlineStr">
        <is>
          <t>Relative precision 1 : X</t>
        </is>
      </c>
      <c r="I16" s="9" t="n"/>
      <c r="J16" s="9" t="n"/>
      <c r="K16" s="25">
        <f>IF($K$15=0,0,$K$12/$K$15)</f>
        <v/>
      </c>
      <c r="L16" s="14" t="n"/>
    </row>
    <row r="17">
      <c r="A17" s="19" t="inlineStr">
        <is>
          <t>5</t>
        </is>
      </c>
      <c r="B17" s="16" t="n">
        <v>127</v>
      </c>
      <c r="C17" s="16" t="n">
        <v>54</v>
      </c>
      <c r="D17" s="17" t="n">
        <v>15</v>
      </c>
      <c r="E17" s="10" t="n">
        <v>83.593</v>
      </c>
      <c r="H17" s="12" t="inlineStr">
        <is>
          <t>Grade</t>
        </is>
      </c>
      <c r="I17" s="9" t="n"/>
      <c r="J17" s="9" t="n"/>
      <c r="K17" s="15">
        <f>IF($K$15=0,"Perfect",IF($K$16&gt;=10000,"Excellent (≥ 1:10000)",IF($K$16&gt;=5000,"Very good (≥ 1:5000)",IF($K$16&gt;=3000,"Acceptable (≥ 1:3000)","Poor (&lt; 1:3000) re-check"))))</f>
        <v/>
      </c>
      <c r="L17" s="14" t="n"/>
    </row>
    <row r="18">
      <c r="A18" s="19" t="inlineStr">
        <is>
          <t>6</t>
        </is>
      </c>
      <c r="B18" s="16" t="n">
        <v>132</v>
      </c>
      <c r="C18" s="16" t="n">
        <v>47</v>
      </c>
      <c r="D18" s="17" t="n">
        <v>53</v>
      </c>
      <c r="E18" s="10" t="n">
        <v>62.643</v>
      </c>
      <c r="H18" s="12" t="inlineStr">
        <is>
          <t>Adjusted traverse area (m²)</t>
        </is>
      </c>
      <c r="I18" s="9" t="n"/>
      <c r="J18" s="9" t="n"/>
      <c r="K18" s="26">
        <f>IF($K$5&gt;=3,ABS(SUM('Calculation'!$O$13:$O$24))/2,0)</f>
        <v/>
      </c>
      <c r="L18" s="27" t="n"/>
    </row>
    <row r="19">
      <c r="A19" s="19" t="n"/>
      <c r="B19" s="16" t="n"/>
      <c r="C19" s="16" t="n"/>
      <c r="D19" s="17" t="n"/>
      <c r="E19" s="10" t="n"/>
    </row>
    <row r="20">
      <c r="A20" s="19" t="n"/>
      <c r="B20" s="16" t="n"/>
      <c r="C20" s="16" t="n"/>
      <c r="D20" s="17" t="n"/>
      <c r="E20" s="10" t="n"/>
    </row>
    <row r="21">
      <c r="A21" s="19" t="n"/>
      <c r="B21" s="16" t="n"/>
      <c r="C21" s="16" t="n"/>
      <c r="D21" s="17" t="n"/>
      <c r="E21" s="10" t="n"/>
    </row>
    <row r="22">
      <c r="A22" s="19" t="n"/>
      <c r="B22" s="16" t="n"/>
      <c r="C22" s="16" t="n"/>
      <c r="D22" s="17" t="n"/>
      <c r="E22" s="10" t="n"/>
    </row>
    <row r="23">
      <c r="A23" s="19" t="n"/>
      <c r="B23" s="16" t="n"/>
      <c r="C23" s="16" t="n"/>
      <c r="D23" s="17" t="n"/>
      <c r="E23" s="10" t="n"/>
    </row>
    <row r="24">
      <c r="A24" s="19" t="n"/>
      <c r="B24" s="16" t="n"/>
      <c r="C24" s="16" t="n"/>
      <c r="D24" s="17" t="n"/>
      <c r="E24" s="10" t="n"/>
    </row>
  </sheetData>
  <sheetProtection selectLockedCells="0" selectUnlockedCells="0" sheet="1" objects="0" insertRows="1" insertHyperlinks="1" autoFilter="0" scenarios="0" formatColumns="0" deleteColumns="1" insertColumns="1" pivotTables="1" deleteRows="1" formatCells="0" formatRows="0" sort="0"/>
  <mergeCells count="42">
    <mergeCell ref="K16:L16"/>
    <mergeCell ref="K15:L15"/>
    <mergeCell ref="A11:E11"/>
    <mergeCell ref="K9:L9"/>
    <mergeCell ref="K5:L5"/>
    <mergeCell ref="H17:J17"/>
    <mergeCell ref="H4:L4"/>
    <mergeCell ref="H11:J11"/>
    <mergeCell ref="H7:J7"/>
    <mergeCell ref="D6:E6"/>
    <mergeCell ref="A2:L2"/>
    <mergeCell ref="H16:J16"/>
    <mergeCell ref="K11:L11"/>
    <mergeCell ref="A7:B7"/>
    <mergeCell ref="A5:C5"/>
    <mergeCell ref="A8:C8"/>
    <mergeCell ref="H13:J13"/>
    <mergeCell ref="H12:J12"/>
    <mergeCell ref="H15:J15"/>
    <mergeCell ref="K12:L12"/>
    <mergeCell ref="H18:J18"/>
    <mergeCell ref="K8:L8"/>
    <mergeCell ref="H14:J14"/>
    <mergeCell ref="H5:J5"/>
    <mergeCell ref="H8:J8"/>
    <mergeCell ref="A9:C9"/>
    <mergeCell ref="D9:E9"/>
    <mergeCell ref="K14:L14"/>
    <mergeCell ref="K17:L17"/>
    <mergeCell ref="D8:E8"/>
    <mergeCell ref="K7:L7"/>
    <mergeCell ref="A4:E4"/>
    <mergeCell ref="H10:J10"/>
    <mergeCell ref="A1:L1"/>
    <mergeCell ref="D5:E5"/>
    <mergeCell ref="A6:C6"/>
    <mergeCell ref="K10:L10"/>
    <mergeCell ref="H9:J9"/>
    <mergeCell ref="K6:L6"/>
    <mergeCell ref="K13:L13"/>
    <mergeCell ref="K18:L18"/>
    <mergeCell ref="H6:J6"/>
  </mergeCells>
  <dataValidations count="8">
    <dataValidation sqref="C7" showDropDown="0" showInputMessage="0" showErrorMessage="1" allowBlank="1" errorTitle="Sheetaky" error="Enter a number between 0 and 360" type="decimal" operator="between">
      <formula1>0</formula1>
      <formula2>360</formula2>
    </dataValidation>
    <dataValidation sqref="D7:E7" showDropDown="0" showInputMessage="0" showErrorMessage="1" allowBlank="1" errorTitle="Sheetaky" error="Enter a number between 0 and 60" type="decimal" operator="between">
      <formula1>0</formula1>
      <formula2>60</formula2>
    </dataValidation>
    <dataValidation sqref="D8" showDropDown="0" showInputMessage="0" showErrorMessage="1" allowBlank="1" errorTitle="Sheetaky" error="Pick a value from the list" type="list">
      <formula1>"Clockwise,Anticlockwise"</formula1>
    </dataValidation>
    <dataValidation sqref="D9" showDropDown="0" showInputMessage="0" showErrorMessage="1" allowBlank="1" errorTitle="Sheetaky" error="Enter a number between 1 and 600" type="decimal" operator="between">
      <formula1>1</formula1>
      <formula2>600</formula2>
    </dataValidation>
    <dataValidation sqref="D5:D6" showDropDown="0" showInputMessage="0" showErrorMessage="1" allowBlank="1" errorTitle="Sheetaky" error="Enter a number between -10000000000.0 and 10000000000.0" type="decimal" operator="between">
      <formula1>-10000000000.0</formula1>
      <formula2>10000000000.0</formula2>
    </dataValidation>
    <dataValidation sqref="B13:B24" showDropDown="0" showInputMessage="0" showErrorMessage="1" allowBlank="1" errorTitle="Sheetaky" error="Enter a number between 0 and 360" type="decimal" operator="between">
      <formula1>0</formula1>
      <formula2>360</formula2>
    </dataValidation>
    <dataValidation sqref="C13:D24" showDropDown="0" showInputMessage="0" showErrorMessage="1" allowBlank="1" errorTitle="Sheetaky" error="Enter a number between 0 and 60" type="decimal" operator="between">
      <formula1>0</formula1>
      <formula2>60</formula2>
    </dataValidation>
    <dataValidation sqref="E13:E24" showDropDown="0" showInputMessage="0" showErrorMessage="1" allowBlank="1" errorTitle="Sheetaky" error="Enter a number between 0 and 10000000.0" type="decimal" operator="between">
      <formula1>0</formula1>
      <formula2>10000000.0</formula2>
    </dataValidation>
  </dataValidation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2.xml><?xml version="1.0" encoding="utf-8"?>
<worksheet xmlns="http://schemas.openxmlformats.org/spreadsheetml/2006/main">
  <sheetPr>
    <tabColor rgb="0017603A"/>
    <outlinePr summaryBelow="1" summaryRight="1"/>
    <pageSetUpPr fitToPage="1"/>
  </sheetPr>
  <dimension ref="A1:O24"/>
  <sheetViews>
    <sheetView showGridLines="0" rightToLeft="0" zoomScale="100" workbookViewId="0">
      <pane ySplit="12" topLeftCell="A13" activePane="bottomLeft" state="frozen"/>
      <selection pane="bottomLeft" activeCell="A1" sqref="A1"/>
    </sheetView>
  </sheetViews>
  <sheetFormatPr baseColWidth="8" defaultRowHeight="15"/>
  <cols>
    <col width="10" customWidth="1" min="1" max="1"/>
    <col width="13" customWidth="1" min="2" max="2"/>
    <col width="13" customWidth="1" min="3" max="3"/>
    <col width="14" customWidth="1" min="4" max="4"/>
    <col width="16" customWidth="1" min="5" max="5"/>
    <col width="13" customWidth="1" min="6" max="6"/>
    <col width="13" customWidth="1" min="7" max="7"/>
    <col width="12" customWidth="1" min="8" max="8"/>
    <col width="12" customWidth="1" min="9" max="9"/>
    <col width="13" customWidth="1" min="10" max="10"/>
    <col width="13" customWidth="1" min="11" max="11"/>
    <col width="15" customWidth="1" min="12" max="12"/>
    <col width="15" customWidth="1" min="13" max="13"/>
    <col width="24" customWidth="1" min="14" max="14"/>
    <col width="14" customWidth="1" min="15" max="15"/>
  </cols>
  <sheetData>
    <row r="1" ht="36" customHeight="1">
      <c r="A1" s="1" t="inlineStr">
        <is>
          <t>Computation table</t>
        </is>
      </c>
      <c r="B1" s="2" t="n"/>
      <c r="C1" s="2" t="n"/>
      <c r="D1" s="2" t="n"/>
      <c r="E1" s="2" t="n"/>
      <c r="F1" s="2" t="n"/>
      <c r="G1" s="2" t="n"/>
      <c r="H1" s="2" t="n"/>
      <c r="I1" s="2" t="n"/>
      <c r="J1" s="2" t="n"/>
      <c r="K1" s="2" t="n"/>
      <c r="L1" s="2" t="n"/>
      <c r="M1" s="2" t="n"/>
      <c r="N1" s="2" t="n"/>
      <c r="O1" s="2" t="n"/>
    </row>
    <row r="2" ht="18" customHeight="1">
      <c r="A2" s="3" t="inlineStr">
        <is>
          <t>Calculated automatically from the Traverse sheet</t>
        </is>
      </c>
      <c r="B2" s="4" t="n"/>
      <c r="C2" s="4" t="n"/>
      <c r="D2" s="4" t="n"/>
      <c r="E2" s="4" t="n"/>
      <c r="F2" s="4" t="n"/>
      <c r="G2" s="4" t="n"/>
      <c r="H2" s="4" t="n"/>
      <c r="I2" s="4" t="n"/>
      <c r="J2" s="4" t="n"/>
      <c r="K2" s="4" t="n"/>
      <c r="L2" s="4" t="n"/>
      <c r="M2" s="4" t="n"/>
      <c r="N2" s="4" t="n"/>
      <c r="O2" s="4" t="n"/>
    </row>
    <row r="3"/>
    <row r="4"/>
    <row r="5"/>
    <row r="6"/>
    <row r="7"/>
    <row r="8"/>
    <row r="9"/>
    <row r="10"/>
    <row r="11"/>
    <row r="12" ht="40" customHeight="1">
      <c r="A12" s="22" t="inlineStr">
        <is>
          <t>Station</t>
        </is>
      </c>
      <c r="B12" s="22" t="inlineStr">
        <is>
          <t>Angle (dec)</t>
        </is>
      </c>
      <c r="C12" s="22" t="inlineStr">
        <is>
          <t>Adjusted angle</t>
        </is>
      </c>
      <c r="D12" s="22" t="inlineStr">
        <is>
          <t>Azimuth (dec)</t>
        </is>
      </c>
      <c r="E12" s="22" t="inlineStr">
        <is>
          <t>Azimuth D°M′S″</t>
        </is>
      </c>
      <c r="F12" s="22" t="inlineStr">
        <is>
          <t>Raw ΔN</t>
        </is>
      </c>
      <c r="G12" s="22" t="inlineStr">
        <is>
          <t>Raw ΔE</t>
        </is>
      </c>
      <c r="H12" s="22" t="inlineStr">
        <is>
          <t>Corr. N</t>
        </is>
      </c>
      <c r="I12" s="22" t="inlineStr">
        <is>
          <t>Corr. E</t>
        </is>
      </c>
      <c r="J12" s="22" t="inlineStr">
        <is>
          <t>Adj. ΔN</t>
        </is>
      </c>
      <c r="K12" s="22" t="inlineStr">
        <is>
          <t>Adj. ΔE</t>
        </is>
      </c>
      <c r="L12" s="22" t="inlineStr">
        <is>
          <t>Final N</t>
        </is>
      </c>
      <c r="M12" s="22" t="inlineStr">
        <is>
          <t>Final E</t>
        </is>
      </c>
      <c r="N12" s="22" t="inlineStr">
        <is>
          <t>Cumulative (CAD)</t>
        </is>
      </c>
      <c r="O12" s="22" t="inlineStr">
        <is>
          <t>Cross</t>
        </is>
      </c>
    </row>
    <row r="13">
      <c r="A13" s="15">
        <f>IF(1&lt;='Traverse'!$K$5,'Traverse'!A13,"")</f>
        <v/>
      </c>
      <c r="B13" s="28">
        <f>IF(1&lt;='Traverse'!$K$5,'Traverse'!B13+'Traverse'!C13/60+'Traverse'!D13/3600,"")</f>
        <v/>
      </c>
      <c r="C13" s="28">
        <f>IF(1&lt;='Traverse'!$K$5,B13-('Traverse'!$K$7-'Traverse'!$K$8)/'Traverse'!$K$5,"")</f>
        <v/>
      </c>
      <c r="D13" s="28">
        <f>IF(1&lt;='Traverse'!$K$5,MOD(('Traverse'!$C$7+'Traverse'!$D$7/60+'Traverse'!$E$7/3600),360),"")</f>
        <v/>
      </c>
      <c r="E13" s="15">
        <f>IF(1&lt;='Traverse'!$K$5,INT(MOD(ROUND(MOD(D13,360)*3600,0),1296000)/3600)&amp;"°"&amp;TEXT(INT(MOD(MOD(ROUND(MOD(D13,360)*3600,0),1296000),3600)/60),"00")&amp;"'"&amp;TEXT(MOD(MOD(ROUND(MOD(D13,360)*3600,0),1296000),60),"00")&amp;"""","")</f>
        <v/>
      </c>
      <c r="F13" s="18">
        <f>IF(1&lt;='Traverse'!$K$5,'Traverse'!E13*COS(RADIANS(D13)),"")</f>
        <v/>
      </c>
      <c r="G13" s="18">
        <f>IF(1&lt;='Traverse'!$K$5,'Traverse'!E13*SIN(RADIANS(D13)),"")</f>
        <v/>
      </c>
      <c r="H13" s="18">
        <f>IF(1&lt;='Traverse'!$K$5,-'Traverse'!$K$13*'Traverse'!E13/'Traverse'!$K$12,"")</f>
        <v/>
      </c>
      <c r="I13" s="18">
        <f>IF(1&lt;='Traverse'!$K$5,-'Traverse'!$K$14*'Traverse'!E13/'Traverse'!$K$12,"")</f>
        <v/>
      </c>
      <c r="J13" s="18">
        <f>IF(1&lt;='Traverse'!$K$5,F13+H13,"")</f>
        <v/>
      </c>
      <c r="K13" s="18">
        <f>IF(1&lt;='Traverse'!$K$5,G13+I13,"")</f>
        <v/>
      </c>
      <c r="L13" s="23">
        <f>IF(1&lt;='Traverse'!$K$5,'Traverse'!$D$5,"")</f>
        <v/>
      </c>
      <c r="M13" s="23">
        <f>IF(1&lt;='Traverse'!$K$5,'Traverse'!$D$6,"")</f>
        <v/>
      </c>
      <c r="N13" s="15">
        <f>IF(1&lt;='Traverse'!$K$5,""&amp;" "&amp;SUBSTITUTE(ROUND(M13,3)&amp;"",",",".")&amp;","&amp;SUBSTITUTE(ROUND(L13,3)&amp;"",",","."),"")</f>
        <v/>
      </c>
      <c r="O13" s="23">
        <f>IF(1&lt;='Traverse'!$K$5,M13*INDEX($L$13:$L$24,IF(1='Traverse'!$K$5,1,1+1))-INDEX($M$13:$M$24,IF(1='Traverse'!$K$5,1,1+1))*L13,0)</f>
        <v/>
      </c>
    </row>
    <row r="14">
      <c r="A14" s="15">
        <f>IF(2&lt;='Traverse'!$K$5,'Traverse'!A14,"")</f>
        <v/>
      </c>
      <c r="B14" s="28">
        <f>IF(2&lt;='Traverse'!$K$5,'Traverse'!B14+'Traverse'!C14/60+'Traverse'!D14/3600,"")</f>
        <v/>
      </c>
      <c r="C14" s="28">
        <f>IF(2&lt;='Traverse'!$K$5,B14-('Traverse'!$K$7-'Traverse'!$K$8)/'Traverse'!$K$5,"")</f>
        <v/>
      </c>
      <c r="D14" s="28">
        <f>IF(2&lt;='Traverse'!$K$5,MOD(D13+IF('Traverse'!$D$8="Clockwise",180-C14,C14-180),360),"")</f>
        <v/>
      </c>
      <c r="E14" s="15">
        <f>IF(2&lt;='Traverse'!$K$5,INT(MOD(ROUND(MOD(D14,360)*3600,0),1296000)/3600)&amp;"°"&amp;TEXT(INT(MOD(MOD(ROUND(MOD(D14,360)*3600,0),1296000),3600)/60),"00")&amp;"'"&amp;TEXT(MOD(MOD(ROUND(MOD(D14,360)*3600,0),1296000),60),"00")&amp;"""","")</f>
        <v/>
      </c>
      <c r="F14" s="18">
        <f>IF(2&lt;='Traverse'!$K$5,'Traverse'!E14*COS(RADIANS(D14)),"")</f>
        <v/>
      </c>
      <c r="G14" s="18">
        <f>IF(2&lt;='Traverse'!$K$5,'Traverse'!E14*SIN(RADIANS(D14)),"")</f>
        <v/>
      </c>
      <c r="H14" s="18">
        <f>IF(2&lt;='Traverse'!$K$5,-'Traverse'!$K$13*'Traverse'!E14/'Traverse'!$K$12,"")</f>
        <v/>
      </c>
      <c r="I14" s="18">
        <f>IF(2&lt;='Traverse'!$K$5,-'Traverse'!$K$14*'Traverse'!E14/'Traverse'!$K$12,"")</f>
        <v/>
      </c>
      <c r="J14" s="18">
        <f>IF(2&lt;='Traverse'!$K$5,F14+H14,"")</f>
        <v/>
      </c>
      <c r="K14" s="18">
        <f>IF(2&lt;='Traverse'!$K$5,G14+I14,"")</f>
        <v/>
      </c>
      <c r="L14" s="23">
        <f>IF(2&lt;='Traverse'!$K$5,L13+J13,"")</f>
        <v/>
      </c>
      <c r="M14" s="23">
        <f>IF(2&lt;='Traverse'!$K$5,M13+K13,"")</f>
        <v/>
      </c>
      <c r="N14" s="15">
        <f>IF(2&lt;='Traverse'!$K$5,N13&amp;" "&amp;SUBSTITUTE(ROUND(M14,3)&amp;"",",",".")&amp;","&amp;SUBSTITUTE(ROUND(L14,3)&amp;"",",","."),N13)</f>
        <v/>
      </c>
      <c r="O14" s="23">
        <f>IF(2&lt;='Traverse'!$K$5,M14*INDEX($L$13:$L$24,IF(2='Traverse'!$K$5,1,2+1))-INDEX($M$13:$M$24,IF(2='Traverse'!$K$5,1,2+1))*L14,0)</f>
        <v/>
      </c>
    </row>
    <row r="15">
      <c r="A15" s="15">
        <f>IF(3&lt;='Traverse'!$K$5,'Traverse'!A15,"")</f>
        <v/>
      </c>
      <c r="B15" s="28">
        <f>IF(3&lt;='Traverse'!$K$5,'Traverse'!B15+'Traverse'!C15/60+'Traverse'!D15/3600,"")</f>
        <v/>
      </c>
      <c r="C15" s="28">
        <f>IF(3&lt;='Traverse'!$K$5,B15-('Traverse'!$K$7-'Traverse'!$K$8)/'Traverse'!$K$5,"")</f>
        <v/>
      </c>
      <c r="D15" s="28">
        <f>IF(3&lt;='Traverse'!$K$5,MOD(D14+IF('Traverse'!$D$8="Clockwise",180-C15,C15-180),360),"")</f>
        <v/>
      </c>
      <c r="E15" s="15">
        <f>IF(3&lt;='Traverse'!$K$5,INT(MOD(ROUND(MOD(D15,360)*3600,0),1296000)/3600)&amp;"°"&amp;TEXT(INT(MOD(MOD(ROUND(MOD(D15,360)*3600,0),1296000),3600)/60),"00")&amp;"'"&amp;TEXT(MOD(MOD(ROUND(MOD(D15,360)*3600,0),1296000),60),"00")&amp;"""","")</f>
        <v/>
      </c>
      <c r="F15" s="18">
        <f>IF(3&lt;='Traverse'!$K$5,'Traverse'!E15*COS(RADIANS(D15)),"")</f>
        <v/>
      </c>
      <c r="G15" s="18">
        <f>IF(3&lt;='Traverse'!$K$5,'Traverse'!E15*SIN(RADIANS(D15)),"")</f>
        <v/>
      </c>
      <c r="H15" s="18">
        <f>IF(3&lt;='Traverse'!$K$5,-'Traverse'!$K$13*'Traverse'!E15/'Traverse'!$K$12,"")</f>
        <v/>
      </c>
      <c r="I15" s="18">
        <f>IF(3&lt;='Traverse'!$K$5,-'Traverse'!$K$14*'Traverse'!E15/'Traverse'!$K$12,"")</f>
        <v/>
      </c>
      <c r="J15" s="18">
        <f>IF(3&lt;='Traverse'!$K$5,F15+H15,"")</f>
        <v/>
      </c>
      <c r="K15" s="18">
        <f>IF(3&lt;='Traverse'!$K$5,G15+I15,"")</f>
        <v/>
      </c>
      <c r="L15" s="23">
        <f>IF(3&lt;='Traverse'!$K$5,L14+J14,"")</f>
        <v/>
      </c>
      <c r="M15" s="23">
        <f>IF(3&lt;='Traverse'!$K$5,M14+K14,"")</f>
        <v/>
      </c>
      <c r="N15" s="15">
        <f>IF(3&lt;='Traverse'!$K$5,N14&amp;" "&amp;SUBSTITUTE(ROUND(M15,3)&amp;"",",",".")&amp;","&amp;SUBSTITUTE(ROUND(L15,3)&amp;"",",","."),N14)</f>
        <v/>
      </c>
      <c r="O15" s="23">
        <f>IF(3&lt;='Traverse'!$K$5,M15*INDEX($L$13:$L$24,IF(3='Traverse'!$K$5,1,3+1))-INDEX($M$13:$M$24,IF(3='Traverse'!$K$5,1,3+1))*L15,0)</f>
        <v/>
      </c>
    </row>
    <row r="16">
      <c r="A16" s="15">
        <f>IF(4&lt;='Traverse'!$K$5,'Traverse'!A16,"")</f>
        <v/>
      </c>
      <c r="B16" s="28">
        <f>IF(4&lt;='Traverse'!$K$5,'Traverse'!B16+'Traverse'!C16/60+'Traverse'!D16/3600,"")</f>
        <v/>
      </c>
      <c r="C16" s="28">
        <f>IF(4&lt;='Traverse'!$K$5,B16-('Traverse'!$K$7-'Traverse'!$K$8)/'Traverse'!$K$5,"")</f>
        <v/>
      </c>
      <c r="D16" s="28">
        <f>IF(4&lt;='Traverse'!$K$5,MOD(D15+IF('Traverse'!$D$8="Clockwise",180-C16,C16-180),360),"")</f>
        <v/>
      </c>
      <c r="E16" s="15">
        <f>IF(4&lt;='Traverse'!$K$5,INT(MOD(ROUND(MOD(D16,360)*3600,0),1296000)/3600)&amp;"°"&amp;TEXT(INT(MOD(MOD(ROUND(MOD(D16,360)*3600,0),1296000),3600)/60),"00")&amp;"'"&amp;TEXT(MOD(MOD(ROUND(MOD(D16,360)*3600,0),1296000),60),"00")&amp;"""","")</f>
        <v/>
      </c>
      <c r="F16" s="18">
        <f>IF(4&lt;='Traverse'!$K$5,'Traverse'!E16*COS(RADIANS(D16)),"")</f>
        <v/>
      </c>
      <c r="G16" s="18">
        <f>IF(4&lt;='Traverse'!$K$5,'Traverse'!E16*SIN(RADIANS(D16)),"")</f>
        <v/>
      </c>
      <c r="H16" s="18">
        <f>IF(4&lt;='Traverse'!$K$5,-'Traverse'!$K$13*'Traverse'!E16/'Traverse'!$K$12,"")</f>
        <v/>
      </c>
      <c r="I16" s="18">
        <f>IF(4&lt;='Traverse'!$K$5,-'Traverse'!$K$14*'Traverse'!E16/'Traverse'!$K$12,"")</f>
        <v/>
      </c>
      <c r="J16" s="18">
        <f>IF(4&lt;='Traverse'!$K$5,F16+H16,"")</f>
        <v/>
      </c>
      <c r="K16" s="18">
        <f>IF(4&lt;='Traverse'!$K$5,G16+I16,"")</f>
        <v/>
      </c>
      <c r="L16" s="23">
        <f>IF(4&lt;='Traverse'!$K$5,L15+J15,"")</f>
        <v/>
      </c>
      <c r="M16" s="23">
        <f>IF(4&lt;='Traverse'!$K$5,M15+K15,"")</f>
        <v/>
      </c>
      <c r="N16" s="15">
        <f>IF(4&lt;='Traverse'!$K$5,N15&amp;" "&amp;SUBSTITUTE(ROUND(M16,3)&amp;"",",",".")&amp;","&amp;SUBSTITUTE(ROUND(L16,3)&amp;"",",","."),N15)</f>
        <v/>
      </c>
      <c r="O16" s="23">
        <f>IF(4&lt;='Traverse'!$K$5,M16*INDEX($L$13:$L$24,IF(4='Traverse'!$K$5,1,4+1))-INDEX($M$13:$M$24,IF(4='Traverse'!$K$5,1,4+1))*L16,0)</f>
        <v/>
      </c>
    </row>
    <row r="17">
      <c r="A17" s="15">
        <f>IF(5&lt;='Traverse'!$K$5,'Traverse'!A17,"")</f>
        <v/>
      </c>
      <c r="B17" s="28">
        <f>IF(5&lt;='Traverse'!$K$5,'Traverse'!B17+'Traverse'!C17/60+'Traverse'!D17/3600,"")</f>
        <v/>
      </c>
      <c r="C17" s="28">
        <f>IF(5&lt;='Traverse'!$K$5,B17-('Traverse'!$K$7-'Traverse'!$K$8)/'Traverse'!$K$5,"")</f>
        <v/>
      </c>
      <c r="D17" s="28">
        <f>IF(5&lt;='Traverse'!$K$5,MOD(D16+IF('Traverse'!$D$8="Clockwise",180-C17,C17-180),360),"")</f>
        <v/>
      </c>
      <c r="E17" s="15">
        <f>IF(5&lt;='Traverse'!$K$5,INT(MOD(ROUND(MOD(D17,360)*3600,0),1296000)/3600)&amp;"°"&amp;TEXT(INT(MOD(MOD(ROUND(MOD(D17,360)*3600,0),1296000),3600)/60),"00")&amp;"'"&amp;TEXT(MOD(MOD(ROUND(MOD(D17,360)*3600,0),1296000),60),"00")&amp;"""","")</f>
        <v/>
      </c>
      <c r="F17" s="18">
        <f>IF(5&lt;='Traverse'!$K$5,'Traverse'!E17*COS(RADIANS(D17)),"")</f>
        <v/>
      </c>
      <c r="G17" s="18">
        <f>IF(5&lt;='Traverse'!$K$5,'Traverse'!E17*SIN(RADIANS(D17)),"")</f>
        <v/>
      </c>
      <c r="H17" s="18">
        <f>IF(5&lt;='Traverse'!$K$5,-'Traverse'!$K$13*'Traverse'!E17/'Traverse'!$K$12,"")</f>
        <v/>
      </c>
      <c r="I17" s="18">
        <f>IF(5&lt;='Traverse'!$K$5,-'Traverse'!$K$14*'Traverse'!E17/'Traverse'!$K$12,"")</f>
        <v/>
      </c>
      <c r="J17" s="18">
        <f>IF(5&lt;='Traverse'!$K$5,F17+H17,"")</f>
        <v/>
      </c>
      <c r="K17" s="18">
        <f>IF(5&lt;='Traverse'!$K$5,G17+I17,"")</f>
        <v/>
      </c>
      <c r="L17" s="23">
        <f>IF(5&lt;='Traverse'!$K$5,L16+J16,"")</f>
        <v/>
      </c>
      <c r="M17" s="23">
        <f>IF(5&lt;='Traverse'!$K$5,M16+K16,"")</f>
        <v/>
      </c>
      <c r="N17" s="15">
        <f>IF(5&lt;='Traverse'!$K$5,N16&amp;" "&amp;SUBSTITUTE(ROUND(M17,3)&amp;"",",",".")&amp;","&amp;SUBSTITUTE(ROUND(L17,3)&amp;"",",","."),N16)</f>
        <v/>
      </c>
      <c r="O17" s="23">
        <f>IF(5&lt;='Traverse'!$K$5,M17*INDEX($L$13:$L$24,IF(5='Traverse'!$K$5,1,5+1))-INDEX($M$13:$M$24,IF(5='Traverse'!$K$5,1,5+1))*L17,0)</f>
        <v/>
      </c>
    </row>
    <row r="18">
      <c r="A18" s="15">
        <f>IF(6&lt;='Traverse'!$K$5,'Traverse'!A18,"")</f>
        <v/>
      </c>
      <c r="B18" s="28">
        <f>IF(6&lt;='Traverse'!$K$5,'Traverse'!B18+'Traverse'!C18/60+'Traverse'!D18/3600,"")</f>
        <v/>
      </c>
      <c r="C18" s="28">
        <f>IF(6&lt;='Traverse'!$K$5,B18-('Traverse'!$K$7-'Traverse'!$K$8)/'Traverse'!$K$5,"")</f>
        <v/>
      </c>
      <c r="D18" s="28">
        <f>IF(6&lt;='Traverse'!$K$5,MOD(D17+IF('Traverse'!$D$8="Clockwise",180-C18,C18-180),360),"")</f>
        <v/>
      </c>
      <c r="E18" s="15">
        <f>IF(6&lt;='Traverse'!$K$5,INT(MOD(ROUND(MOD(D18,360)*3600,0),1296000)/3600)&amp;"°"&amp;TEXT(INT(MOD(MOD(ROUND(MOD(D18,360)*3600,0),1296000),3600)/60),"00")&amp;"'"&amp;TEXT(MOD(MOD(ROUND(MOD(D18,360)*3600,0),1296000),60),"00")&amp;"""","")</f>
        <v/>
      </c>
      <c r="F18" s="18">
        <f>IF(6&lt;='Traverse'!$K$5,'Traverse'!E18*COS(RADIANS(D18)),"")</f>
        <v/>
      </c>
      <c r="G18" s="18">
        <f>IF(6&lt;='Traverse'!$K$5,'Traverse'!E18*SIN(RADIANS(D18)),"")</f>
        <v/>
      </c>
      <c r="H18" s="18">
        <f>IF(6&lt;='Traverse'!$K$5,-'Traverse'!$K$13*'Traverse'!E18/'Traverse'!$K$12,"")</f>
        <v/>
      </c>
      <c r="I18" s="18">
        <f>IF(6&lt;='Traverse'!$K$5,-'Traverse'!$K$14*'Traverse'!E18/'Traverse'!$K$12,"")</f>
        <v/>
      </c>
      <c r="J18" s="18">
        <f>IF(6&lt;='Traverse'!$K$5,F18+H18,"")</f>
        <v/>
      </c>
      <c r="K18" s="18">
        <f>IF(6&lt;='Traverse'!$K$5,G18+I18,"")</f>
        <v/>
      </c>
      <c r="L18" s="23">
        <f>IF(6&lt;='Traverse'!$K$5,L17+J17,"")</f>
        <v/>
      </c>
      <c r="M18" s="23">
        <f>IF(6&lt;='Traverse'!$K$5,M17+K17,"")</f>
        <v/>
      </c>
      <c r="N18" s="15">
        <f>IF(6&lt;='Traverse'!$K$5,N17&amp;" "&amp;SUBSTITUTE(ROUND(M18,3)&amp;"",",",".")&amp;","&amp;SUBSTITUTE(ROUND(L18,3)&amp;"",",","."),N17)</f>
        <v/>
      </c>
      <c r="O18" s="23">
        <f>IF(6&lt;='Traverse'!$K$5,M18*INDEX($L$13:$L$24,IF(6='Traverse'!$K$5,1,6+1))-INDEX($M$13:$M$24,IF(6='Traverse'!$K$5,1,6+1))*L18,0)</f>
        <v/>
      </c>
    </row>
    <row r="19">
      <c r="A19" s="15">
        <f>IF(7&lt;='Traverse'!$K$5,'Traverse'!A19,"")</f>
        <v/>
      </c>
      <c r="B19" s="28">
        <f>IF(7&lt;='Traverse'!$K$5,'Traverse'!B19+'Traverse'!C19/60+'Traverse'!D19/3600,"")</f>
        <v/>
      </c>
      <c r="C19" s="28">
        <f>IF(7&lt;='Traverse'!$K$5,B19-('Traverse'!$K$7-'Traverse'!$K$8)/'Traverse'!$K$5,"")</f>
        <v/>
      </c>
      <c r="D19" s="28">
        <f>IF(7&lt;='Traverse'!$K$5,MOD(D18+IF('Traverse'!$D$8="Clockwise",180-C19,C19-180),360),"")</f>
        <v/>
      </c>
      <c r="E19" s="15">
        <f>IF(7&lt;='Traverse'!$K$5,INT(MOD(ROUND(MOD(D19,360)*3600,0),1296000)/3600)&amp;"°"&amp;TEXT(INT(MOD(MOD(ROUND(MOD(D19,360)*3600,0),1296000),3600)/60),"00")&amp;"'"&amp;TEXT(MOD(MOD(ROUND(MOD(D19,360)*3600,0),1296000),60),"00")&amp;"""","")</f>
        <v/>
      </c>
      <c r="F19" s="18">
        <f>IF(7&lt;='Traverse'!$K$5,'Traverse'!E19*COS(RADIANS(D19)),"")</f>
        <v/>
      </c>
      <c r="G19" s="18">
        <f>IF(7&lt;='Traverse'!$K$5,'Traverse'!E19*SIN(RADIANS(D19)),"")</f>
        <v/>
      </c>
      <c r="H19" s="18">
        <f>IF(7&lt;='Traverse'!$K$5,-'Traverse'!$K$13*'Traverse'!E19/'Traverse'!$K$12,"")</f>
        <v/>
      </c>
      <c r="I19" s="18">
        <f>IF(7&lt;='Traverse'!$K$5,-'Traverse'!$K$14*'Traverse'!E19/'Traverse'!$K$12,"")</f>
        <v/>
      </c>
      <c r="J19" s="18">
        <f>IF(7&lt;='Traverse'!$K$5,F19+H19,"")</f>
        <v/>
      </c>
      <c r="K19" s="18">
        <f>IF(7&lt;='Traverse'!$K$5,G19+I19,"")</f>
        <v/>
      </c>
      <c r="L19" s="23">
        <f>IF(7&lt;='Traverse'!$K$5,L18+J18,"")</f>
        <v/>
      </c>
      <c r="M19" s="23">
        <f>IF(7&lt;='Traverse'!$K$5,M18+K18,"")</f>
        <v/>
      </c>
      <c r="N19" s="15">
        <f>IF(7&lt;='Traverse'!$K$5,N18&amp;" "&amp;SUBSTITUTE(ROUND(M19,3)&amp;"",",",".")&amp;","&amp;SUBSTITUTE(ROUND(L19,3)&amp;"",",","."),N18)</f>
        <v/>
      </c>
      <c r="O19" s="23">
        <f>IF(7&lt;='Traverse'!$K$5,M19*INDEX($L$13:$L$24,IF(7='Traverse'!$K$5,1,7+1))-INDEX($M$13:$M$24,IF(7='Traverse'!$K$5,1,7+1))*L19,0)</f>
        <v/>
      </c>
    </row>
    <row r="20">
      <c r="A20" s="15">
        <f>IF(8&lt;='Traverse'!$K$5,'Traverse'!A20,"")</f>
        <v/>
      </c>
      <c r="B20" s="28">
        <f>IF(8&lt;='Traverse'!$K$5,'Traverse'!B20+'Traverse'!C20/60+'Traverse'!D20/3600,"")</f>
        <v/>
      </c>
      <c r="C20" s="28">
        <f>IF(8&lt;='Traverse'!$K$5,B20-('Traverse'!$K$7-'Traverse'!$K$8)/'Traverse'!$K$5,"")</f>
        <v/>
      </c>
      <c r="D20" s="28">
        <f>IF(8&lt;='Traverse'!$K$5,MOD(D19+IF('Traverse'!$D$8="Clockwise",180-C20,C20-180),360),"")</f>
        <v/>
      </c>
      <c r="E20" s="15">
        <f>IF(8&lt;='Traverse'!$K$5,INT(MOD(ROUND(MOD(D20,360)*3600,0),1296000)/3600)&amp;"°"&amp;TEXT(INT(MOD(MOD(ROUND(MOD(D20,360)*3600,0),1296000),3600)/60),"00")&amp;"'"&amp;TEXT(MOD(MOD(ROUND(MOD(D20,360)*3600,0),1296000),60),"00")&amp;"""","")</f>
        <v/>
      </c>
      <c r="F20" s="18">
        <f>IF(8&lt;='Traverse'!$K$5,'Traverse'!E20*COS(RADIANS(D20)),"")</f>
        <v/>
      </c>
      <c r="G20" s="18">
        <f>IF(8&lt;='Traverse'!$K$5,'Traverse'!E20*SIN(RADIANS(D20)),"")</f>
        <v/>
      </c>
      <c r="H20" s="18">
        <f>IF(8&lt;='Traverse'!$K$5,-'Traverse'!$K$13*'Traverse'!E20/'Traverse'!$K$12,"")</f>
        <v/>
      </c>
      <c r="I20" s="18">
        <f>IF(8&lt;='Traverse'!$K$5,-'Traverse'!$K$14*'Traverse'!E20/'Traverse'!$K$12,"")</f>
        <v/>
      </c>
      <c r="J20" s="18">
        <f>IF(8&lt;='Traverse'!$K$5,F20+H20,"")</f>
        <v/>
      </c>
      <c r="K20" s="18">
        <f>IF(8&lt;='Traverse'!$K$5,G20+I20,"")</f>
        <v/>
      </c>
      <c r="L20" s="23">
        <f>IF(8&lt;='Traverse'!$K$5,L19+J19,"")</f>
        <v/>
      </c>
      <c r="M20" s="23">
        <f>IF(8&lt;='Traverse'!$K$5,M19+K19,"")</f>
        <v/>
      </c>
      <c r="N20" s="15">
        <f>IF(8&lt;='Traverse'!$K$5,N19&amp;" "&amp;SUBSTITUTE(ROUND(M20,3)&amp;"",",",".")&amp;","&amp;SUBSTITUTE(ROUND(L20,3)&amp;"",",","."),N19)</f>
        <v/>
      </c>
      <c r="O20" s="23">
        <f>IF(8&lt;='Traverse'!$K$5,M20*INDEX($L$13:$L$24,IF(8='Traverse'!$K$5,1,8+1))-INDEX($M$13:$M$24,IF(8='Traverse'!$K$5,1,8+1))*L20,0)</f>
        <v/>
      </c>
    </row>
    <row r="21">
      <c r="A21" s="15">
        <f>IF(9&lt;='Traverse'!$K$5,'Traverse'!A21,"")</f>
        <v/>
      </c>
      <c r="B21" s="28">
        <f>IF(9&lt;='Traverse'!$K$5,'Traverse'!B21+'Traverse'!C21/60+'Traverse'!D21/3600,"")</f>
        <v/>
      </c>
      <c r="C21" s="28">
        <f>IF(9&lt;='Traverse'!$K$5,B21-('Traverse'!$K$7-'Traverse'!$K$8)/'Traverse'!$K$5,"")</f>
        <v/>
      </c>
      <c r="D21" s="28">
        <f>IF(9&lt;='Traverse'!$K$5,MOD(D20+IF('Traverse'!$D$8="Clockwise",180-C21,C21-180),360),"")</f>
        <v/>
      </c>
      <c r="E21" s="15">
        <f>IF(9&lt;='Traverse'!$K$5,INT(MOD(ROUND(MOD(D21,360)*3600,0),1296000)/3600)&amp;"°"&amp;TEXT(INT(MOD(MOD(ROUND(MOD(D21,360)*3600,0),1296000),3600)/60),"00")&amp;"'"&amp;TEXT(MOD(MOD(ROUND(MOD(D21,360)*3600,0),1296000),60),"00")&amp;"""","")</f>
        <v/>
      </c>
      <c r="F21" s="18">
        <f>IF(9&lt;='Traverse'!$K$5,'Traverse'!E21*COS(RADIANS(D21)),"")</f>
        <v/>
      </c>
      <c r="G21" s="18">
        <f>IF(9&lt;='Traverse'!$K$5,'Traverse'!E21*SIN(RADIANS(D21)),"")</f>
        <v/>
      </c>
      <c r="H21" s="18">
        <f>IF(9&lt;='Traverse'!$K$5,-'Traverse'!$K$13*'Traverse'!E21/'Traverse'!$K$12,"")</f>
        <v/>
      </c>
      <c r="I21" s="18">
        <f>IF(9&lt;='Traverse'!$K$5,-'Traverse'!$K$14*'Traverse'!E21/'Traverse'!$K$12,"")</f>
        <v/>
      </c>
      <c r="J21" s="18">
        <f>IF(9&lt;='Traverse'!$K$5,F21+H21,"")</f>
        <v/>
      </c>
      <c r="K21" s="18">
        <f>IF(9&lt;='Traverse'!$K$5,G21+I21,"")</f>
        <v/>
      </c>
      <c r="L21" s="23">
        <f>IF(9&lt;='Traverse'!$K$5,L20+J20,"")</f>
        <v/>
      </c>
      <c r="M21" s="23">
        <f>IF(9&lt;='Traverse'!$K$5,M20+K20,"")</f>
        <v/>
      </c>
      <c r="N21" s="15">
        <f>IF(9&lt;='Traverse'!$K$5,N20&amp;" "&amp;SUBSTITUTE(ROUND(M21,3)&amp;"",",",".")&amp;","&amp;SUBSTITUTE(ROUND(L21,3)&amp;"",",","."),N20)</f>
        <v/>
      </c>
      <c r="O21" s="23">
        <f>IF(9&lt;='Traverse'!$K$5,M21*INDEX($L$13:$L$24,IF(9='Traverse'!$K$5,1,9+1))-INDEX($M$13:$M$24,IF(9='Traverse'!$K$5,1,9+1))*L21,0)</f>
        <v/>
      </c>
    </row>
    <row r="22">
      <c r="A22" s="15">
        <f>IF(10&lt;='Traverse'!$K$5,'Traverse'!A22,"")</f>
        <v/>
      </c>
      <c r="B22" s="28">
        <f>IF(10&lt;='Traverse'!$K$5,'Traverse'!B22+'Traverse'!C22/60+'Traverse'!D22/3600,"")</f>
        <v/>
      </c>
      <c r="C22" s="28">
        <f>IF(10&lt;='Traverse'!$K$5,B22-('Traverse'!$K$7-'Traverse'!$K$8)/'Traverse'!$K$5,"")</f>
        <v/>
      </c>
      <c r="D22" s="28">
        <f>IF(10&lt;='Traverse'!$K$5,MOD(D21+IF('Traverse'!$D$8="Clockwise",180-C22,C22-180),360),"")</f>
        <v/>
      </c>
      <c r="E22" s="15">
        <f>IF(10&lt;='Traverse'!$K$5,INT(MOD(ROUND(MOD(D22,360)*3600,0),1296000)/3600)&amp;"°"&amp;TEXT(INT(MOD(MOD(ROUND(MOD(D22,360)*3600,0),1296000),3600)/60),"00")&amp;"'"&amp;TEXT(MOD(MOD(ROUND(MOD(D22,360)*3600,0),1296000),60),"00")&amp;"""","")</f>
        <v/>
      </c>
      <c r="F22" s="18">
        <f>IF(10&lt;='Traverse'!$K$5,'Traverse'!E22*COS(RADIANS(D22)),"")</f>
        <v/>
      </c>
      <c r="G22" s="18">
        <f>IF(10&lt;='Traverse'!$K$5,'Traverse'!E22*SIN(RADIANS(D22)),"")</f>
        <v/>
      </c>
      <c r="H22" s="18">
        <f>IF(10&lt;='Traverse'!$K$5,-'Traverse'!$K$13*'Traverse'!E22/'Traverse'!$K$12,"")</f>
        <v/>
      </c>
      <c r="I22" s="18">
        <f>IF(10&lt;='Traverse'!$K$5,-'Traverse'!$K$14*'Traverse'!E22/'Traverse'!$K$12,"")</f>
        <v/>
      </c>
      <c r="J22" s="18">
        <f>IF(10&lt;='Traverse'!$K$5,F22+H22,"")</f>
        <v/>
      </c>
      <c r="K22" s="18">
        <f>IF(10&lt;='Traverse'!$K$5,G22+I22,"")</f>
        <v/>
      </c>
      <c r="L22" s="23">
        <f>IF(10&lt;='Traverse'!$K$5,L21+J21,"")</f>
        <v/>
      </c>
      <c r="M22" s="23">
        <f>IF(10&lt;='Traverse'!$K$5,M21+K21,"")</f>
        <v/>
      </c>
      <c r="N22" s="15">
        <f>IF(10&lt;='Traverse'!$K$5,N21&amp;" "&amp;SUBSTITUTE(ROUND(M22,3)&amp;"",",",".")&amp;","&amp;SUBSTITUTE(ROUND(L22,3)&amp;"",",","."),N21)</f>
        <v/>
      </c>
      <c r="O22" s="23">
        <f>IF(10&lt;='Traverse'!$K$5,M22*INDEX($L$13:$L$24,IF(10='Traverse'!$K$5,1,10+1))-INDEX($M$13:$M$24,IF(10='Traverse'!$K$5,1,10+1))*L22,0)</f>
        <v/>
      </c>
    </row>
    <row r="23">
      <c r="A23" s="15">
        <f>IF(11&lt;='Traverse'!$K$5,'Traverse'!A23,"")</f>
        <v/>
      </c>
      <c r="B23" s="28">
        <f>IF(11&lt;='Traverse'!$K$5,'Traverse'!B23+'Traverse'!C23/60+'Traverse'!D23/3600,"")</f>
        <v/>
      </c>
      <c r="C23" s="28">
        <f>IF(11&lt;='Traverse'!$K$5,B23-('Traverse'!$K$7-'Traverse'!$K$8)/'Traverse'!$K$5,"")</f>
        <v/>
      </c>
      <c r="D23" s="28">
        <f>IF(11&lt;='Traverse'!$K$5,MOD(D22+IF('Traverse'!$D$8="Clockwise",180-C23,C23-180),360),"")</f>
        <v/>
      </c>
      <c r="E23" s="15">
        <f>IF(11&lt;='Traverse'!$K$5,INT(MOD(ROUND(MOD(D23,360)*3600,0),1296000)/3600)&amp;"°"&amp;TEXT(INT(MOD(MOD(ROUND(MOD(D23,360)*3600,0),1296000),3600)/60),"00")&amp;"'"&amp;TEXT(MOD(MOD(ROUND(MOD(D23,360)*3600,0),1296000),60),"00")&amp;"""","")</f>
        <v/>
      </c>
      <c r="F23" s="18">
        <f>IF(11&lt;='Traverse'!$K$5,'Traverse'!E23*COS(RADIANS(D23)),"")</f>
        <v/>
      </c>
      <c r="G23" s="18">
        <f>IF(11&lt;='Traverse'!$K$5,'Traverse'!E23*SIN(RADIANS(D23)),"")</f>
        <v/>
      </c>
      <c r="H23" s="18">
        <f>IF(11&lt;='Traverse'!$K$5,-'Traverse'!$K$13*'Traverse'!E23/'Traverse'!$K$12,"")</f>
        <v/>
      </c>
      <c r="I23" s="18">
        <f>IF(11&lt;='Traverse'!$K$5,-'Traverse'!$K$14*'Traverse'!E23/'Traverse'!$K$12,"")</f>
        <v/>
      </c>
      <c r="J23" s="18">
        <f>IF(11&lt;='Traverse'!$K$5,F23+H23,"")</f>
        <v/>
      </c>
      <c r="K23" s="18">
        <f>IF(11&lt;='Traverse'!$K$5,G23+I23,"")</f>
        <v/>
      </c>
      <c r="L23" s="23">
        <f>IF(11&lt;='Traverse'!$K$5,L22+J22,"")</f>
        <v/>
      </c>
      <c r="M23" s="23">
        <f>IF(11&lt;='Traverse'!$K$5,M22+K22,"")</f>
        <v/>
      </c>
      <c r="N23" s="15">
        <f>IF(11&lt;='Traverse'!$K$5,N22&amp;" "&amp;SUBSTITUTE(ROUND(M23,3)&amp;"",",",".")&amp;","&amp;SUBSTITUTE(ROUND(L23,3)&amp;"",",","."),N22)</f>
        <v/>
      </c>
      <c r="O23" s="23">
        <f>IF(11&lt;='Traverse'!$K$5,M23*INDEX($L$13:$L$24,IF(11='Traverse'!$K$5,1,11+1))-INDEX($M$13:$M$24,IF(11='Traverse'!$K$5,1,11+1))*L23,0)</f>
        <v/>
      </c>
    </row>
    <row r="24">
      <c r="A24" s="15">
        <f>IF(12&lt;='Traverse'!$K$5,'Traverse'!A24,"")</f>
        <v/>
      </c>
      <c r="B24" s="28">
        <f>IF(12&lt;='Traverse'!$K$5,'Traverse'!B24+'Traverse'!C24/60+'Traverse'!D24/3600,"")</f>
        <v/>
      </c>
      <c r="C24" s="28">
        <f>IF(12&lt;='Traverse'!$K$5,B24-('Traverse'!$K$7-'Traverse'!$K$8)/'Traverse'!$K$5,"")</f>
        <v/>
      </c>
      <c r="D24" s="28">
        <f>IF(12&lt;='Traverse'!$K$5,MOD(D23+IF('Traverse'!$D$8="Clockwise",180-C24,C24-180),360),"")</f>
        <v/>
      </c>
      <c r="E24" s="15">
        <f>IF(12&lt;='Traverse'!$K$5,INT(MOD(ROUND(MOD(D24,360)*3600,0),1296000)/3600)&amp;"°"&amp;TEXT(INT(MOD(MOD(ROUND(MOD(D24,360)*3600,0),1296000),3600)/60),"00")&amp;"'"&amp;TEXT(MOD(MOD(ROUND(MOD(D24,360)*3600,0),1296000),60),"00")&amp;"""","")</f>
        <v/>
      </c>
      <c r="F24" s="18">
        <f>IF(12&lt;='Traverse'!$K$5,'Traverse'!E24*COS(RADIANS(D24)),"")</f>
        <v/>
      </c>
      <c r="G24" s="18">
        <f>IF(12&lt;='Traverse'!$K$5,'Traverse'!E24*SIN(RADIANS(D24)),"")</f>
        <v/>
      </c>
      <c r="H24" s="18">
        <f>IF(12&lt;='Traverse'!$K$5,-'Traverse'!$K$13*'Traverse'!E24/'Traverse'!$K$12,"")</f>
        <v/>
      </c>
      <c r="I24" s="18">
        <f>IF(12&lt;='Traverse'!$K$5,-'Traverse'!$K$14*'Traverse'!E24/'Traverse'!$K$12,"")</f>
        <v/>
      </c>
      <c r="J24" s="18">
        <f>IF(12&lt;='Traverse'!$K$5,F24+H24,"")</f>
        <v/>
      </c>
      <c r="K24" s="18">
        <f>IF(12&lt;='Traverse'!$K$5,G24+I24,"")</f>
        <v/>
      </c>
      <c r="L24" s="23">
        <f>IF(12&lt;='Traverse'!$K$5,L23+J23,"")</f>
        <v/>
      </c>
      <c r="M24" s="23">
        <f>IF(12&lt;='Traverse'!$K$5,M23+K23,"")</f>
        <v/>
      </c>
      <c r="N24" s="15">
        <f>IF(12&lt;='Traverse'!$K$5,N23&amp;" "&amp;SUBSTITUTE(ROUND(M24,3)&amp;"",",",".")&amp;","&amp;SUBSTITUTE(ROUND(L24,3)&amp;"",",","."),N23)</f>
        <v/>
      </c>
      <c r="O24" s="23">
        <f>IF(12&lt;='Traverse'!$K$5,M24*INDEX($L$13:$L$24,IF(12='Traverse'!$K$5,1,12+1))-INDEX($M$13:$M$24,IF(12='Traverse'!$K$5,1,12+1))*L24,0)</f>
        <v/>
      </c>
    </row>
  </sheetData>
  <sheetProtection selectLockedCells="0" selectUnlockedCells="0" sheet="1" objects="0" insertRows="1" insertHyperlinks="1" autoFilter="0" scenarios="0" formatColumns="0" deleteColumns="1" insertColumns="1" pivotTables="1" deleteRows="1" formatCells="0" formatRows="0" sort="0"/>
  <mergeCells count="2">
    <mergeCell ref="A1:O1"/>
    <mergeCell ref="A2:O2"/>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3.xml><?xml version="1.0" encoding="utf-8"?>
<worksheet xmlns="http://schemas.openxmlformats.org/spreadsheetml/2006/main">
  <sheetPr>
    <tabColor rgb="0017603A"/>
    <outlinePr summaryBelow="1" summaryRight="1"/>
    <pageSetUpPr fitToPage="1"/>
  </sheetPr>
  <dimension ref="A1:B20"/>
  <sheetViews>
    <sheetView showGridLines="0" rightToLeft="0" zoomScale="100" workbookViewId="0">
      <selection activeCell="A1" sqref="A1"/>
    </sheetView>
  </sheetViews>
  <sheetFormatPr baseColWidth="8" defaultRowHeight="15"/>
  <cols>
    <col width="110" customWidth="1" min="1" max="1"/>
    <col width="44" customWidth="1" min="2" max="2"/>
  </cols>
  <sheetData>
    <row r="1" ht="36" customHeight="1">
      <c r="A1" s="1" t="inlineStr">
        <is>
          <t>AutoCAD commands</t>
        </is>
      </c>
      <c r="B1" s="2" t="n"/>
    </row>
    <row r="2" ht="18" customHeight="1">
      <c r="A2" s="3" t="inlineStr">
        <is>
          <t>Copy the cell and paste into the AutoCAD command line</t>
        </is>
      </c>
      <c r="B2" s="4" t="n"/>
    </row>
    <row r="3"/>
    <row r="4" ht="22" customHeight="1">
      <c r="A4" s="5" t="inlineStr">
        <is>
          <t>Adjusted traverse as a closed polyline</t>
        </is>
      </c>
      <c r="B4" s="6" t="n"/>
    </row>
    <row r="5">
      <c r="A5" s="29">
        <f>"PLINE"&amp;'Calculation'!$N$24&amp;" C"</f>
        <v/>
      </c>
      <c r="B5" s="30" t="inlineStr">
        <is>
          <t>C = close the line</t>
        </is>
      </c>
    </row>
    <row r="6"/>
    <row r="7" ht="22" customHeight="1">
      <c r="A7" s="5" t="inlineStr">
        <is>
          <t>Station points</t>
        </is>
      </c>
      <c r="B7" s="6" t="n"/>
    </row>
    <row r="8">
      <c r="A8" s="29">
        <f>IF(ISNUMBER('Calculation'!L13),"POINT "&amp;SUBSTITUTE(ROUND('Calculation'!M13,3)&amp;"",",",".")&amp;","&amp;SUBSTITUTE(ROUND('Calculation'!L13,3)&amp;"",",",".")&amp;",0","")</f>
        <v/>
      </c>
    </row>
    <row r="9">
      <c r="A9" s="29">
        <f>IF(ISNUMBER('Calculation'!L14),"POINT "&amp;SUBSTITUTE(ROUND('Calculation'!M14,3)&amp;"",",",".")&amp;","&amp;SUBSTITUTE(ROUND('Calculation'!L14,3)&amp;"",",",".")&amp;",0","")</f>
        <v/>
      </c>
    </row>
    <row r="10">
      <c r="A10" s="29">
        <f>IF(ISNUMBER('Calculation'!L15),"POINT "&amp;SUBSTITUTE(ROUND('Calculation'!M15,3)&amp;"",",",".")&amp;","&amp;SUBSTITUTE(ROUND('Calculation'!L15,3)&amp;"",",",".")&amp;",0","")</f>
        <v/>
      </c>
    </row>
    <row r="11">
      <c r="A11" s="29">
        <f>IF(ISNUMBER('Calculation'!L16),"POINT "&amp;SUBSTITUTE(ROUND('Calculation'!M16,3)&amp;"",",",".")&amp;","&amp;SUBSTITUTE(ROUND('Calculation'!L16,3)&amp;"",",",".")&amp;",0","")</f>
        <v/>
      </c>
    </row>
    <row r="12">
      <c r="A12" s="29">
        <f>IF(ISNUMBER('Calculation'!L17),"POINT "&amp;SUBSTITUTE(ROUND('Calculation'!M17,3)&amp;"",",",".")&amp;","&amp;SUBSTITUTE(ROUND('Calculation'!L17,3)&amp;"",",",".")&amp;",0","")</f>
        <v/>
      </c>
    </row>
    <row r="13">
      <c r="A13" s="29">
        <f>IF(ISNUMBER('Calculation'!L18),"POINT "&amp;SUBSTITUTE(ROUND('Calculation'!M18,3)&amp;"",",",".")&amp;","&amp;SUBSTITUTE(ROUND('Calculation'!L18,3)&amp;"",",",".")&amp;",0","")</f>
        <v/>
      </c>
    </row>
    <row r="14">
      <c r="A14" s="29">
        <f>IF(ISNUMBER('Calculation'!L19),"POINT "&amp;SUBSTITUTE(ROUND('Calculation'!M19,3)&amp;"",",",".")&amp;","&amp;SUBSTITUTE(ROUND('Calculation'!L19,3)&amp;"",",",".")&amp;",0","")</f>
        <v/>
      </c>
    </row>
    <row r="15">
      <c r="A15" s="29">
        <f>IF(ISNUMBER('Calculation'!L20),"POINT "&amp;SUBSTITUTE(ROUND('Calculation'!M20,3)&amp;"",",",".")&amp;","&amp;SUBSTITUTE(ROUND('Calculation'!L20,3)&amp;"",",",".")&amp;",0","")</f>
        <v/>
      </c>
    </row>
    <row r="16">
      <c r="A16" s="29">
        <f>IF(ISNUMBER('Calculation'!L21),"POINT "&amp;SUBSTITUTE(ROUND('Calculation'!M21,3)&amp;"",",",".")&amp;","&amp;SUBSTITUTE(ROUND('Calculation'!L21,3)&amp;"",",",".")&amp;",0","")</f>
        <v/>
      </c>
    </row>
    <row r="17">
      <c r="A17" s="29">
        <f>IF(ISNUMBER('Calculation'!L22),"POINT "&amp;SUBSTITUTE(ROUND('Calculation'!M22,3)&amp;"",",",".")&amp;","&amp;SUBSTITUTE(ROUND('Calculation'!L22,3)&amp;"",",",".")&amp;",0","")</f>
        <v/>
      </c>
    </row>
    <row r="18">
      <c r="A18" s="29">
        <f>IF(ISNUMBER('Calculation'!L23),"POINT "&amp;SUBSTITUTE(ROUND('Calculation'!M23,3)&amp;"",",",".")&amp;","&amp;SUBSTITUTE(ROUND('Calculation'!L23,3)&amp;"",",",".")&amp;",0","")</f>
        <v/>
      </c>
    </row>
    <row r="19">
      <c r="A19" s="29">
        <f>IF(ISNUMBER('Calculation'!L24),"POINT "&amp;SUBSTITUTE(ROUND('Calculation'!M24,3)&amp;"",",",".")&amp;","&amp;SUBSTITUTE(ROUND('Calculation'!L24,3)&amp;"",",",".")&amp;",0","")</f>
        <v/>
      </c>
    </row>
    <row r="20">
      <c r="A20" s="31" t="inlineStr">
        <is>
          <t>Copy only the non-empty lines.</t>
        </is>
      </c>
    </row>
  </sheetData>
  <sheetProtection selectLockedCells="0" selectUnlockedCells="0" sheet="1" objects="0" insertRows="1" insertHyperlinks="1" autoFilter="0" scenarios="0" formatColumns="0" deleteColumns="1" insertColumns="1" pivotTables="1" deleteRows="1" formatCells="0" formatRows="0" sort="0"/>
  <mergeCells count="5">
    <mergeCell ref="A4:B4"/>
    <mergeCell ref="A20:B20"/>
    <mergeCell ref="A2:B2"/>
    <mergeCell ref="A7:B7"/>
    <mergeCell ref="A1:B1"/>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xl/worksheets/sheet4.xml><?xml version="1.0" encoding="utf-8"?>
<worksheet xmlns="http://schemas.openxmlformats.org/spreadsheetml/2006/main">
  <sheetPr>
    <tabColor rgb="00E8A317"/>
    <outlinePr summaryBelow="1" summaryRight="1"/>
    <pageSetUpPr fitToPage="1"/>
  </sheetPr>
  <dimension ref="A1:B25"/>
  <sheetViews>
    <sheetView showGridLines="0" rightToLeft="0" zoomScale="100" workbookViewId="0">
      <selection activeCell="A1" sqref="A1"/>
    </sheetView>
  </sheetViews>
  <sheetFormatPr baseColWidth="8" defaultRowHeight="15"/>
  <cols>
    <col width="4" customWidth="1" min="1" max="1"/>
    <col width="92" customWidth="1" min="2" max="2"/>
  </cols>
  <sheetData>
    <row r="1" ht="36" customHeight="1">
      <c r="A1" s="1" t="inlineStr">
        <is>
          <t>How to use: Closed Traverse Computation and Bowditch Adjustment</t>
        </is>
      </c>
      <c r="B1" s="2" t="n"/>
    </row>
    <row r="2" ht="18" customHeight="1">
      <c r="A2" s="3" t="inlineStr">
        <is>
          <t>Sheetaky.com · Ready Excel sheets in Arabic and English</t>
        </is>
      </c>
      <c r="B2" s="4" t="n"/>
    </row>
    <row r="3"/>
    <row r="4" ht="22" customHeight="1">
      <c r="A4" s="5" t="inlineStr">
        <is>
          <t>What is this sheet?</t>
        </is>
      </c>
      <c r="B4" s="6" t="n"/>
    </row>
    <row r="5" ht="60" customHeight="1">
      <c r="A5" s="29" t="inlineStr">
        <is>
          <t>The sheet computes a closed traverse: it corrects the interior angles by equal distribution, computes azimuths and coordinates, then spreads the linear misclosure with the Bowditch (compass) rule in proportion to the distances, and gives the precision, the area and an AutoCAD command to draw it.</t>
        </is>
      </c>
    </row>
    <row r="6"/>
    <row r="7" ht="22" customHeight="1">
      <c r="A7" s="5" t="inlineStr">
        <is>
          <t>Steps</t>
        </is>
      </c>
      <c r="B7" s="6" t="n"/>
    </row>
    <row r="8" ht="20" customHeight="1">
      <c r="A8" s="32" t="n">
        <v>1</v>
      </c>
      <c r="B8" s="29" t="inlineStr">
        <is>
          <t>Enter the coordinates of station 1, the azimuth of line 1→2 and the travel direction.</t>
        </is>
      </c>
    </row>
    <row r="9" ht="30" customHeight="1">
      <c r="A9" s="32" t="n">
        <v>2</v>
      </c>
      <c r="B9" s="29" t="inlineStr">
        <is>
          <t>Enter the measured interior angle at each station (D M S) and the distance to the next station. The last line returns to station 1.</t>
        </is>
      </c>
    </row>
    <row r="10" ht="20" customHeight="1">
      <c r="A10" s="32" t="n">
        <v>3</v>
      </c>
      <c r="B10" s="29" t="inlineStr">
        <is>
          <t>Check the angular error against the allowable value, then the relative precision.</t>
        </is>
      </c>
    </row>
    <row r="11" ht="30" customHeight="1">
      <c r="A11" s="32" t="n">
        <v>4</v>
      </c>
      <c r="B11" s="29" t="inlineStr">
        <is>
          <t>Take the final coordinates from the "Calculation" sheet or copy the polyline command into AutoCAD.</t>
        </is>
      </c>
    </row>
    <row r="12"/>
    <row r="13" ht="22" customHeight="1">
      <c r="A13" s="5" t="inlineStr">
        <is>
          <t>Color legend</t>
        </is>
      </c>
      <c r="B13" s="6" t="n"/>
    </row>
    <row r="14">
      <c r="A14" s="33" t="inlineStr"/>
      <c r="B14" s="29" t="inlineStr">
        <is>
          <t>Input cell: type or choose your value here (blue text on yellow).</t>
        </is>
      </c>
    </row>
    <row r="15">
      <c r="A15" s="34" t="inlineStr"/>
      <c r="B15" s="29" t="inlineStr">
        <is>
          <t>Calculated cell: automatic formula, protected from accidental edits.</t>
        </is>
      </c>
    </row>
    <row r="16">
      <c r="A16" s="35" t="inlineStr"/>
      <c r="B16" s="29" t="inlineStr">
        <is>
          <t>Table and section headers.</t>
        </is>
      </c>
    </row>
    <row r="17"/>
    <row r="18" ht="22" customHeight="1">
      <c r="A18" s="5" t="inlineStr">
        <is>
          <t>Important notes</t>
        </is>
      </c>
      <c r="B18" s="6" t="n"/>
    </row>
    <row r="19" ht="20" customHeight="1">
      <c r="A19" s="36" t="inlineStr">
        <is>
          <t>•</t>
        </is>
      </c>
      <c r="B19" s="37" t="inlineStr">
        <is>
          <t>The sheet is for a closed traverse with interior angles; use other tools for an open traverse.</t>
        </is>
      </c>
    </row>
    <row r="20" ht="20" customHeight="1">
      <c r="A20" s="36" t="inlineStr">
        <is>
          <t>•</t>
        </is>
      </c>
      <c r="B20" s="37" t="inlineStr">
        <is>
          <t>If the angular error exceeds the allowance, re-measure instead of adjusting.</t>
        </is>
      </c>
    </row>
    <row r="21" ht="20" customHeight="1">
      <c r="A21" s="36" t="inlineStr">
        <is>
          <t>•</t>
        </is>
      </c>
      <c r="B21" s="37" t="inlineStr">
        <is>
          <t>The Bowditch rule does not fix gross errors; re-check measurements if the precision is poor.</t>
        </is>
      </c>
    </row>
    <row r="22" ht="20" customHeight="1">
      <c r="A22" s="36" t="inlineStr">
        <is>
          <t>•</t>
        </is>
      </c>
      <c r="B22" s="37" t="inlineStr">
        <is>
          <t>The example is a six-station traverse with small realistic errors.</t>
        </is>
      </c>
    </row>
    <row r="23" ht="30" customHeight="1">
      <c r="A23" s="36" t="inlineStr">
        <is>
          <t>•</t>
        </is>
      </c>
      <c r="B23" s="37" t="inlineStr">
        <is>
          <t>Sheets are protected without a password to keep formulas safe. To unprotect: Review → Unprotect Sheet.</t>
        </is>
      </c>
    </row>
    <row r="24" ht="20" customHeight="1">
      <c r="A24" s="36" t="inlineStr">
        <is>
          <t>•</t>
        </is>
      </c>
      <c r="B24" s="37" t="inlineStr">
        <is>
          <t>The data shown is a worked example. Clear it and type your own data in the yellow cells only.</t>
        </is>
      </c>
    </row>
    <row r="25" ht="20" customHeight="1">
      <c r="A25" s="36" t="inlineStr">
        <is>
          <t>•</t>
        </is>
      </c>
      <c r="B25" s="37" t="inlineStr">
        <is>
          <t>More free sheets in Arabic and English at Sheetaky.com</t>
        </is>
      </c>
    </row>
  </sheetData>
  <sheetProtection selectLockedCells="0" selectUnlockedCells="0" sheet="1" objects="0" insertRows="1" insertHyperlinks="1" autoFilter="0" scenarios="0" formatColumns="0" deleteColumns="1" insertColumns="1" pivotTables="1" deleteRows="1" formatCells="0" formatRows="0" sort="0"/>
  <mergeCells count="7">
    <mergeCell ref="A4:B4"/>
    <mergeCell ref="A2:B2"/>
    <mergeCell ref="A7:B7"/>
    <mergeCell ref="A5:B5"/>
    <mergeCell ref="A13:B13"/>
    <mergeCell ref="A1:B1"/>
    <mergeCell ref="A18:B18"/>
  </mergeCells>
  <printOptions horizontalCentered="1"/>
  <pageMargins left="0.4" right="0.4" top="1" bottom="1" header="0.5" footer="0.5"/>
  <pageSetup paperSize="9" fitToHeight="0" fitToWidth="1"/>
  <headerFooter>
    <oddHeader/>
    <oddFooter>&amp;CSheetaky.com</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Sheetaky.com</dc:creator>
  <dc:title xmlns:dc="http://purl.org/dc/elements/1.1/">TRV</dc:title>
  <dcterms:created xmlns:dcterms="http://purl.org/dc/terms/" xmlns:xsi="http://www.w3.org/2001/XMLSchema-instance" xsi:type="dcterms:W3CDTF">2026-10-23T01:06:18Z</dcterms:created>
  <dcterms:modified xmlns:dcterms="http://purl.org/dc/terms/" xmlns:xsi="http://www.w3.org/2001/XMLSchema-instance" xsi:type="dcterms:W3CDTF">2026-10-23T01:06:18Z</dcterms:modified>
</cp:coreProperties>
</file>