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ضلع" sheetId="1" state="visible" r:id="rId1"/>
    <sheet xmlns:r="http://schemas.openxmlformats.org/officeDocument/2006/relationships" name="الحسابات" sheetId="2" state="visible" r:id="rId2"/>
    <sheet xmlns:r="http://schemas.openxmlformats.org/officeDocument/2006/relationships" name="أوامر أوتوكاد" sheetId="3" state="visible" r:id="rId3"/>
    <sheet xmlns:r="http://schemas.openxmlformats.org/officeDocument/2006/relationships" name="دليل الاستخدا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0"/>
    <numFmt numFmtId="167" formatCode="#,##0.000"/>
    <numFmt numFmtId="168" formatCode="0.00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color rgb="005A665F"/>
      <sz val="9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5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/>
      <right/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 style="thin">
        <color rgb="00C9CFC9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1" applyProtection="1" pivotButton="0" quotePrefix="0" xfId="0">
      <protection locked="0" hidden="0"/>
    </xf>
    <xf numFmtId="0" fontId="4" fillId="0" borderId="1" applyAlignment="1" pivotButton="0" quotePrefix="0" xfId="0">
      <alignment horizontal="center" vertical="center" wrapText="1" readingOrder="2"/>
    </xf>
    <xf numFmtId="1" fontId="7" fillId="6" borderId="1" applyAlignment="1" pivotButton="0" quotePrefix="0" xfId="0">
      <alignment horizontal="center" vertical="center" wrapText="1" readingOrder="2"/>
    </xf>
    <xf numFmtId="0" fontId="0" fillId="6" borderId="1" pivotButton="0" quotePrefix="0" xfId="0"/>
    <xf numFmtId="0" fontId="7" fillId="6" borderId="1" applyAlignment="1" pivotButton="0" quotePrefix="0" xfId="0">
      <alignment horizontal="center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66" fontId="7" fillId="6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4" fillId="6" borderId="1" applyAlignment="1" pivotButton="0" quotePrefix="0" xfId="0">
      <alignment horizontal="center" vertical="center" wrapText="1" readingOrder="2"/>
    </xf>
    <xf numFmtId="165" fontId="7" fillId="6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3" fontId="4" fillId="6" borderId="1" applyAlignment="1" pivotButton="0" quotePrefix="0" xfId="0">
      <alignment horizontal="center" vertical="center" wrapText="1" readingOrder="2"/>
    </xf>
    <xf numFmtId="167" fontId="4" fillId="7" borderId="1" applyAlignment="1" pivotButton="0" quotePrefix="0" xfId="0">
      <alignment horizontal="center" vertical="center" wrapText="1" readingOrder="2"/>
    </xf>
    <xf numFmtId="0" fontId="0" fillId="7" borderId="1" pivotButton="0" quotePrefix="0" xfId="0"/>
    <xf numFmtId="168" fontId="7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left" vertical="center" wrapText="1" readingOrder="2"/>
    </xf>
    <xf numFmtId="0" fontId="8" fillId="0" borderId="1" applyAlignment="1" pivotButton="0" quotePrefix="0" xfId="0">
      <alignment horizontal="center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L24"/>
  <sheetViews>
    <sheetView showGridLines="0" rightToLeft="1" zoomScale="10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7" customWidth="1" min="3" max="3"/>
    <col width="8" customWidth="1" min="4" max="4"/>
    <col width="14" customWidth="1" min="5" max="5"/>
    <col width="4" customWidth="1" min="6" max="6"/>
    <col width="4" customWidth="1" min="7" max="7"/>
    <col width="14" customWidth="1" min="8" max="8"/>
    <col width="8" customWidth="1" min="9" max="9"/>
    <col width="8" customWidth="1" min="10" max="10"/>
    <col width="14" customWidth="1" min="11" max="11"/>
    <col width="14" customWidth="1" min="12" max="12"/>
  </cols>
  <sheetData>
    <row r="1" ht="36" customHeight="1">
      <c r="A1" s="1" t="inlineStr">
        <is>
          <t>حساب وتصحيح المضلع المغلق (طريقة بودتش)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أدخل الزوايا الداخلية المقاسة والأطوال، فيصحّح الشيت الزوايا ويوزع خطأ الإغلاق ويعطي الإحداثيات النهائية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/>
    <row r="4" ht="22" customHeight="1">
      <c r="A4" s="5" t="inlineStr">
        <is>
          <t>بيانات البداية</t>
        </is>
      </c>
      <c r="B4" s="6" t="n"/>
      <c r="C4" s="6" t="n"/>
      <c r="D4" s="6" t="n"/>
      <c r="E4" s="6" t="n"/>
      <c r="H4" s="7" t="inlineStr">
        <is>
          <t>النتائج</t>
        </is>
      </c>
      <c r="I4" s="6" t="n"/>
      <c r="J4" s="6" t="n"/>
      <c r="K4" s="6" t="n"/>
      <c r="L4" s="6" t="n"/>
    </row>
    <row r="5">
      <c r="A5" s="8" t="inlineStr">
        <is>
          <t>شمالي محطة 1</t>
        </is>
      </c>
      <c r="B5" s="9" t="n"/>
      <c r="C5" s="9" t="n"/>
      <c r="D5" s="10" t="n">
        <v>5000</v>
      </c>
      <c r="E5" s="11" t="n"/>
      <c r="H5" s="12" t="inlineStr">
        <is>
          <t>عدد المحطات</t>
        </is>
      </c>
      <c r="I5" s="9" t="n"/>
      <c r="J5" s="9" t="n"/>
      <c r="K5" s="13">
        <f>COUNT($E$13:$E$24)</f>
        <v/>
      </c>
      <c r="L5" s="14" t="n"/>
    </row>
    <row r="6">
      <c r="A6" s="8" t="inlineStr">
        <is>
          <t>شرقي محطة 1</t>
        </is>
      </c>
      <c r="B6" s="9" t="n"/>
      <c r="C6" s="9" t="n"/>
      <c r="D6" s="10" t="n">
        <v>5000</v>
      </c>
      <c r="E6" s="11" t="n"/>
      <c r="H6" s="12" t="inlineStr">
        <is>
          <t>تسلسل الصفوف</t>
        </is>
      </c>
      <c r="I6" s="9" t="n"/>
      <c r="J6" s="9" t="n"/>
      <c r="K6" s="15">
        <f>IF(AND($K$5&gt;=3,SUMPRODUCT(--ISNUMBER($E$13:INDEX($E$13:$E$24,$K$5)))=$K$5),"سليم ✓","أدخل 3 محطات على الأقل دون صفوف فارغة")</f>
        <v/>
      </c>
      <c r="L6" s="14" t="n"/>
    </row>
    <row r="7">
      <c r="A7" s="8" t="inlineStr">
        <is>
          <t>اتجاه الضلع 1←2</t>
        </is>
      </c>
      <c r="B7" s="9" t="n"/>
      <c r="C7" s="16" t="n">
        <v>60</v>
      </c>
      <c r="D7" s="16" t="n">
        <v>33</v>
      </c>
      <c r="E7" s="17" t="n">
        <v>48</v>
      </c>
      <c r="H7" s="12" t="inlineStr">
        <is>
          <t>مجموع الزوايا المقاسة °</t>
        </is>
      </c>
      <c r="I7" s="9" t="n"/>
      <c r="J7" s="9" t="n"/>
      <c r="K7" s="18">
        <f>SUM('الحسابات'!$B$13:$B$24)</f>
        <v/>
      </c>
      <c r="L7" s="14" t="n"/>
    </row>
    <row r="8">
      <c r="A8" s="8" t="inlineStr">
        <is>
          <t>اتجاه المسير</t>
        </is>
      </c>
      <c r="B8" s="9" t="n"/>
      <c r="C8" s="9" t="n"/>
      <c r="D8" s="19" t="inlineStr">
        <is>
          <t>مع عقارب الساعة</t>
        </is>
      </c>
      <c r="E8" s="11" t="n"/>
      <c r="H8" s="12" t="inlineStr">
        <is>
          <t>المجموع النظري (n−2)×180</t>
        </is>
      </c>
      <c r="I8" s="9" t="n"/>
      <c r="J8" s="9" t="n"/>
      <c r="K8" s="18">
        <f>IF($K$5&gt;=3,($K$5-2)*180,0)</f>
        <v/>
      </c>
      <c r="L8" s="14" t="n"/>
    </row>
    <row r="9">
      <c r="A9" s="8" t="inlineStr">
        <is>
          <t>ثابت دقة الزوايا (ث/√n)</t>
        </is>
      </c>
      <c r="B9" s="9" t="n"/>
      <c r="C9" s="9" t="n"/>
      <c r="D9" s="16" t="n">
        <v>15</v>
      </c>
      <c r="E9" s="11" t="n"/>
      <c r="H9" s="12" t="inlineStr">
        <is>
          <t>خطأ الزوايا (ثانية)</t>
        </is>
      </c>
      <c r="I9" s="9" t="n"/>
      <c r="J9" s="9" t="n"/>
      <c r="K9" s="20">
        <f>($K$7-$K$8)*3600</f>
        <v/>
      </c>
      <c r="L9" s="14" t="n"/>
    </row>
    <row r="10">
      <c r="H10" s="12" t="inlineStr">
        <is>
          <t>المسموح (ثانية)</t>
        </is>
      </c>
      <c r="I10" s="9" t="n"/>
      <c r="J10" s="9" t="n"/>
      <c r="K10" s="21">
        <f>$D$9*SQRT($K$5)</f>
        <v/>
      </c>
      <c r="L10" s="14" t="n"/>
    </row>
    <row r="11" ht="22" customHeight="1">
      <c r="A11" s="5" t="inlineStr">
        <is>
          <t>القياسات</t>
        </is>
      </c>
      <c r="B11" s="6" t="n"/>
      <c r="C11" s="6" t="n"/>
      <c r="D11" s="6" t="n"/>
      <c r="E11" s="6" t="n"/>
      <c r="H11" s="12" t="inlineStr">
        <is>
          <t>حالة الزوايا</t>
        </is>
      </c>
      <c r="I11" s="9" t="n"/>
      <c r="J11" s="9" t="n"/>
      <c r="K11" s="15">
        <f>IF(ABS($K$9)&lt;=$K$10,"مقبولة ✓","تتجاوز المسموح ✗ أعد القياس")</f>
        <v/>
      </c>
      <c r="L11" s="14" t="n"/>
    </row>
    <row r="12" ht="44" customHeight="1">
      <c r="A12" s="22" t="inlineStr">
        <is>
          <t>المحطة</t>
        </is>
      </c>
      <c r="B12" s="22" t="inlineStr">
        <is>
          <t>الزاوية الداخلية °</t>
        </is>
      </c>
      <c r="C12" s="22" t="inlineStr">
        <is>
          <t>′</t>
        </is>
      </c>
      <c r="D12" s="22" t="inlineStr">
        <is>
          <t>″</t>
        </is>
      </c>
      <c r="E12" s="22" t="inlineStr">
        <is>
          <t>الطول للمحطة التالية (م)</t>
        </is>
      </c>
      <c r="H12" s="12" t="inlineStr">
        <is>
          <t>محيط المضلع (م)</t>
        </is>
      </c>
      <c r="I12" s="9" t="n"/>
      <c r="J12" s="9" t="n"/>
      <c r="K12" s="23">
        <f>SUM($E$13:$E$24)</f>
        <v/>
      </c>
      <c r="L12" s="14" t="n"/>
    </row>
    <row r="13">
      <c r="A13" s="19" t="inlineStr">
        <is>
          <t>1</t>
        </is>
      </c>
      <c r="B13" s="16" t="n">
        <v>107</v>
      </c>
      <c r="C13" s="16" t="n">
        <v>56</v>
      </c>
      <c r="D13" s="17" t="n">
        <v>4</v>
      </c>
      <c r="E13" s="10" t="n">
        <v>126.799</v>
      </c>
      <c r="H13" s="12" t="inlineStr">
        <is>
          <t>مجموع ΔN (م)</t>
        </is>
      </c>
      <c r="I13" s="9" t="n"/>
      <c r="J13" s="9" t="n"/>
      <c r="K13" s="18">
        <f>SUM('الحسابات'!$F$13:$F$24)</f>
        <v/>
      </c>
      <c r="L13" s="14" t="n"/>
    </row>
    <row r="14">
      <c r="A14" s="19" t="inlineStr">
        <is>
          <t>2</t>
        </is>
      </c>
      <c r="B14" s="16" t="n">
        <v>122</v>
      </c>
      <c r="C14" s="16" t="n">
        <v>1</v>
      </c>
      <c r="D14" s="17" t="n">
        <v>16</v>
      </c>
      <c r="E14" s="10" t="n">
        <v>90.81699999999999</v>
      </c>
      <c r="H14" s="12" t="inlineStr">
        <is>
          <t>مجموع ΔE (م)</t>
        </is>
      </c>
      <c r="I14" s="9" t="n"/>
      <c r="J14" s="9" t="n"/>
      <c r="K14" s="18">
        <f>SUM('الحسابات'!$G$13:$G$24)</f>
        <v/>
      </c>
      <c r="L14" s="14" t="n"/>
    </row>
    <row r="15">
      <c r="A15" s="19" t="inlineStr">
        <is>
          <t>3</t>
        </is>
      </c>
      <c r="B15" s="16" t="n">
        <v>109</v>
      </c>
      <c r="C15" s="16" t="n">
        <v>55</v>
      </c>
      <c r="D15" s="17" t="n">
        <v>37</v>
      </c>
      <c r="E15" s="10" t="n">
        <v>89.45699999999999</v>
      </c>
      <c r="H15" s="12" t="inlineStr">
        <is>
          <t>خطأ الإغلاق الخطي (م)</t>
        </is>
      </c>
      <c r="I15" s="9" t="n"/>
      <c r="J15" s="9" t="n"/>
      <c r="K15" s="24">
        <f>SQRT($K$13^2+$K$14^2)</f>
        <v/>
      </c>
      <c r="L15" s="14" t="n"/>
    </row>
    <row r="16">
      <c r="A16" s="19" t="inlineStr">
        <is>
          <t>4</t>
        </is>
      </c>
      <c r="B16" s="16" t="n">
        <v>119</v>
      </c>
      <c r="C16" s="16" t="n">
        <v>25</v>
      </c>
      <c r="D16" s="17" t="n">
        <v>17</v>
      </c>
      <c r="E16" s="10" t="n">
        <v>99.352</v>
      </c>
      <c r="H16" s="12" t="inlineStr">
        <is>
          <t>الدقة النسبية 1 : X</t>
        </is>
      </c>
      <c r="I16" s="9" t="n"/>
      <c r="J16" s="9" t="n"/>
      <c r="K16" s="25">
        <f>IF($K$15=0,0,$K$12/$K$15)</f>
        <v/>
      </c>
      <c r="L16" s="14" t="n"/>
    </row>
    <row r="17">
      <c r="A17" s="19" t="inlineStr">
        <is>
          <t>5</t>
        </is>
      </c>
      <c r="B17" s="16" t="n">
        <v>127</v>
      </c>
      <c r="C17" s="16" t="n">
        <v>54</v>
      </c>
      <c r="D17" s="17" t="n">
        <v>15</v>
      </c>
      <c r="E17" s="10" t="n">
        <v>83.593</v>
      </c>
      <c r="H17" s="12" t="inlineStr">
        <is>
          <t>تقييم الدقة</t>
        </is>
      </c>
      <c r="I17" s="9" t="n"/>
      <c r="J17" s="9" t="n"/>
      <c r="K17" s="15">
        <f>IF($K$15=0,"مثالي",IF($K$16&gt;=10000,"ممتازة (≥ 1:10000)",IF($K$16&gt;=5000,"جيدة جدًا (≥ 1:5000)",IF($K$16&gt;=3000,"مقبولة (≥ 1:3000)","ضعيفة (&lt; 1:3000) أعد المراجعة"))))</f>
        <v/>
      </c>
      <c r="L17" s="14" t="n"/>
    </row>
    <row r="18">
      <c r="A18" s="19" t="inlineStr">
        <is>
          <t>6</t>
        </is>
      </c>
      <c r="B18" s="16" t="n">
        <v>132</v>
      </c>
      <c r="C18" s="16" t="n">
        <v>47</v>
      </c>
      <c r="D18" s="17" t="n">
        <v>53</v>
      </c>
      <c r="E18" s="10" t="n">
        <v>62.643</v>
      </c>
      <c r="H18" s="12" t="inlineStr">
        <is>
          <t>مساحة المضلع المعدّل (م²)</t>
        </is>
      </c>
      <c r="I18" s="9" t="n"/>
      <c r="J18" s="9" t="n"/>
      <c r="K18" s="26">
        <f>IF($K$5&gt;=3,ABS(SUM('الحسابات'!$O$13:$O$24))/2,0)</f>
        <v/>
      </c>
      <c r="L18" s="27" t="n"/>
    </row>
    <row r="19">
      <c r="A19" s="19" t="n"/>
      <c r="B19" s="16" t="n"/>
      <c r="C19" s="16" t="n"/>
      <c r="D19" s="17" t="n"/>
      <c r="E19" s="10" t="n"/>
    </row>
    <row r="20">
      <c r="A20" s="19" t="n"/>
      <c r="B20" s="16" t="n"/>
      <c r="C20" s="16" t="n"/>
      <c r="D20" s="17" t="n"/>
      <c r="E20" s="10" t="n"/>
    </row>
    <row r="21">
      <c r="A21" s="19" t="n"/>
      <c r="B21" s="16" t="n"/>
      <c r="C21" s="16" t="n"/>
      <c r="D21" s="17" t="n"/>
      <c r="E21" s="10" t="n"/>
    </row>
    <row r="22">
      <c r="A22" s="19" t="n"/>
      <c r="B22" s="16" t="n"/>
      <c r="C22" s="16" t="n"/>
      <c r="D22" s="17" t="n"/>
      <c r="E22" s="10" t="n"/>
    </row>
    <row r="23">
      <c r="A23" s="19" t="n"/>
      <c r="B23" s="16" t="n"/>
      <c r="C23" s="16" t="n"/>
      <c r="D23" s="17" t="n"/>
      <c r="E23" s="10" t="n"/>
    </row>
    <row r="24">
      <c r="A24" s="19" t="n"/>
      <c r="B24" s="16" t="n"/>
      <c r="C24" s="16" t="n"/>
      <c r="D24" s="17" t="n"/>
      <c r="E24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2">
    <mergeCell ref="K16:L16"/>
    <mergeCell ref="K15:L15"/>
    <mergeCell ref="A11:E11"/>
    <mergeCell ref="K9:L9"/>
    <mergeCell ref="K5:L5"/>
    <mergeCell ref="H17:J17"/>
    <mergeCell ref="H4:L4"/>
    <mergeCell ref="H11:J11"/>
    <mergeCell ref="H7:J7"/>
    <mergeCell ref="D6:E6"/>
    <mergeCell ref="A2:L2"/>
    <mergeCell ref="H16:J16"/>
    <mergeCell ref="K11:L11"/>
    <mergeCell ref="A7:B7"/>
    <mergeCell ref="A5:C5"/>
    <mergeCell ref="A8:C8"/>
    <mergeCell ref="H13:J13"/>
    <mergeCell ref="H12:J12"/>
    <mergeCell ref="H15:J15"/>
    <mergeCell ref="K12:L12"/>
    <mergeCell ref="H18:J18"/>
    <mergeCell ref="K8:L8"/>
    <mergeCell ref="H14:J14"/>
    <mergeCell ref="H5:J5"/>
    <mergeCell ref="H8:J8"/>
    <mergeCell ref="A9:C9"/>
    <mergeCell ref="D9:E9"/>
    <mergeCell ref="K14:L14"/>
    <mergeCell ref="K17:L17"/>
    <mergeCell ref="D8:E8"/>
    <mergeCell ref="K7:L7"/>
    <mergeCell ref="A4:E4"/>
    <mergeCell ref="H10:J10"/>
    <mergeCell ref="A1:L1"/>
    <mergeCell ref="D5:E5"/>
    <mergeCell ref="A6:C6"/>
    <mergeCell ref="K10:L10"/>
    <mergeCell ref="H9:J9"/>
    <mergeCell ref="K6:L6"/>
    <mergeCell ref="K13:L13"/>
    <mergeCell ref="K18:L18"/>
    <mergeCell ref="H6:J6"/>
  </mergeCells>
  <dataValidations count="8">
    <dataValidation sqref="C7" showDropDown="0" showInputMessage="0" showErrorMessage="1" allowBlank="1" errorTitle="Sheetaky" error="أدخل رقمًا بين 0 و 360" type="decimal" operator="between">
      <formula1>0</formula1>
      <formula2>360</formula2>
    </dataValidation>
    <dataValidation sqref="D7:E7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D8" showDropDown="0" showInputMessage="0" showErrorMessage="1" allowBlank="1" errorTitle="Sheetaky" error="اختر قيمة من القائمة" type="list">
      <formula1>"مع عقارب الساعة,عكس عقارب الساعة"</formula1>
    </dataValidation>
    <dataValidation sqref="D9" showDropDown="0" showInputMessage="0" showErrorMessage="1" allowBlank="1" errorTitle="Sheetaky" error="أدخل رقمًا بين 1 و 600" type="decimal" operator="between">
      <formula1>1</formula1>
      <formula2>600</formula2>
    </dataValidation>
    <dataValidation sqref="D5:D6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  <dataValidation sqref="B13:B24" showDropDown="0" showInputMessage="0" showErrorMessage="1" allowBlank="1" errorTitle="Sheetaky" error="أدخل رقمًا بين 0 و 360" type="decimal" operator="between">
      <formula1>0</formula1>
      <formula2>360</formula2>
    </dataValidation>
    <dataValidation sqref="C13:D24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E13:E24" showDropDown="0" showInputMessage="0" showErrorMessage="1" allowBlank="1" errorTitle="Sheetaky" error="أدخل رقمًا بين 0 و 10000000.0" type="decimal" operator="between">
      <formula1>0</formula1>
      <formula2>10000000.0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O24"/>
  <sheetViews>
    <sheetView showGridLines="0" rightToLeft="1" zoomScale="10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4" customWidth="1" min="4" max="4"/>
    <col width="16" customWidth="1" min="5" max="5"/>
    <col width="13" customWidth="1" min="6" max="6"/>
    <col width="13" customWidth="1" min="7" max="7"/>
    <col width="12" customWidth="1" min="8" max="8"/>
    <col width="12" customWidth="1" min="9" max="9"/>
    <col width="13" customWidth="1" min="10" max="10"/>
    <col width="13" customWidth="1" min="11" max="11"/>
    <col width="15" customWidth="1" min="12" max="12"/>
    <col width="15" customWidth="1" min="13" max="13"/>
    <col width="24" customWidth="1" min="14" max="14"/>
    <col width="14" customWidth="1" min="15" max="15"/>
  </cols>
  <sheetData>
    <row r="1" ht="36" customHeight="1">
      <c r="A1" s="1" t="inlineStr">
        <is>
          <t>جدول الحسابات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يُحسب تلقائيًا من ورقة المضلع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/>
    <row r="4"/>
    <row r="5"/>
    <row r="6"/>
    <row r="7"/>
    <row r="8"/>
    <row r="9"/>
    <row r="10"/>
    <row r="11"/>
    <row r="12" ht="40" customHeight="1">
      <c r="A12" s="22" t="inlineStr">
        <is>
          <t>المحطة</t>
        </is>
      </c>
      <c r="B12" s="22" t="inlineStr">
        <is>
          <t>الزاوية (عشري)</t>
        </is>
      </c>
      <c r="C12" s="22" t="inlineStr">
        <is>
          <t>بعد التصحيح</t>
        </is>
      </c>
      <c r="D12" s="22" t="inlineStr">
        <is>
          <t>الاتجاه Az (عشري)</t>
        </is>
      </c>
      <c r="E12" s="22" t="inlineStr">
        <is>
          <t>الاتجاه د°ق′ث″</t>
        </is>
      </c>
      <c r="F12" s="22" t="inlineStr">
        <is>
          <t>ΔN خام</t>
        </is>
      </c>
      <c r="G12" s="22" t="inlineStr">
        <is>
          <t>ΔE خام</t>
        </is>
      </c>
      <c r="H12" s="22" t="inlineStr">
        <is>
          <t>تصحيح N</t>
        </is>
      </c>
      <c r="I12" s="22" t="inlineStr">
        <is>
          <t>تصحيح E</t>
        </is>
      </c>
      <c r="J12" s="22" t="inlineStr">
        <is>
          <t>ΔN معدّل</t>
        </is>
      </c>
      <c r="K12" s="22" t="inlineStr">
        <is>
          <t>ΔE معدّل</t>
        </is>
      </c>
      <c r="L12" s="22" t="inlineStr">
        <is>
          <t>N النهائي</t>
        </is>
      </c>
      <c r="M12" s="22" t="inlineStr">
        <is>
          <t>E النهائي</t>
        </is>
      </c>
      <c r="N12" s="22" t="inlineStr">
        <is>
          <t>تراكمي (أوتوكاد)</t>
        </is>
      </c>
      <c r="O12" s="22" t="inlineStr">
        <is>
          <t>تقاطع</t>
        </is>
      </c>
    </row>
    <row r="13">
      <c r="A13" s="15">
        <f>IF(1&lt;='المضلع'!$K$5,'المضلع'!A13,"")</f>
        <v/>
      </c>
      <c r="B13" s="28">
        <f>IF(1&lt;='المضلع'!$K$5,'المضلع'!B13+'المضلع'!C13/60+'المضلع'!D13/3600,"")</f>
        <v/>
      </c>
      <c r="C13" s="28">
        <f>IF(1&lt;='المضلع'!$K$5,B13-('المضلع'!$K$7-'المضلع'!$K$8)/'المضلع'!$K$5,"")</f>
        <v/>
      </c>
      <c r="D13" s="28">
        <f>IF(1&lt;='المضلع'!$K$5,MOD(('المضلع'!$C$7+'المضلع'!$D$7/60+'المضلع'!$E$7/3600),360),"")</f>
        <v/>
      </c>
      <c r="E13" s="15">
        <f>IF(1&lt;='المضلع'!$K$5,INT(MOD(ROUND(MOD(D13,360)*3600,0),1296000)/3600)&amp;"°"&amp;TEXT(INT(MOD(MOD(ROUND(MOD(D13,360)*3600,0),1296000),3600)/60),"00")&amp;"'"&amp;TEXT(MOD(MOD(ROUND(MOD(D13,360)*3600,0),1296000),60),"00")&amp;"""","")</f>
        <v/>
      </c>
      <c r="F13" s="18">
        <f>IF(1&lt;='المضلع'!$K$5,'المضلع'!E13*COS(RADIANS(D13)),"")</f>
        <v/>
      </c>
      <c r="G13" s="18">
        <f>IF(1&lt;='المضلع'!$K$5,'المضلع'!E13*SIN(RADIANS(D13)),"")</f>
        <v/>
      </c>
      <c r="H13" s="18">
        <f>IF(1&lt;='المضلع'!$K$5,-'المضلع'!$K$13*'المضلع'!E13/'المضلع'!$K$12,"")</f>
        <v/>
      </c>
      <c r="I13" s="18">
        <f>IF(1&lt;='المضلع'!$K$5,-'المضلع'!$K$14*'المضلع'!E13/'المضلع'!$K$12,"")</f>
        <v/>
      </c>
      <c r="J13" s="18">
        <f>IF(1&lt;='المضلع'!$K$5,F13+H13,"")</f>
        <v/>
      </c>
      <c r="K13" s="18">
        <f>IF(1&lt;='المضلع'!$K$5,G13+I13,"")</f>
        <v/>
      </c>
      <c r="L13" s="23">
        <f>IF(1&lt;='المضلع'!$K$5,'المضلع'!$D$5,"")</f>
        <v/>
      </c>
      <c r="M13" s="23">
        <f>IF(1&lt;='المضلع'!$K$5,'المضلع'!$D$6,"")</f>
        <v/>
      </c>
      <c r="N13" s="15">
        <f>IF(1&lt;='المضلع'!$K$5,""&amp;" "&amp;SUBSTITUTE(ROUND(M13,3)&amp;"",",",".")&amp;","&amp;SUBSTITUTE(ROUND(L13,3)&amp;"",",","."),"")</f>
        <v/>
      </c>
      <c r="O13" s="23">
        <f>IF(1&lt;='المضلع'!$K$5,M13*INDEX($L$13:$L$24,IF(1='المضلع'!$K$5,1,1+1))-INDEX($M$13:$M$24,IF(1='المضلع'!$K$5,1,1+1))*L13,0)</f>
        <v/>
      </c>
    </row>
    <row r="14">
      <c r="A14" s="15">
        <f>IF(2&lt;='المضلع'!$K$5,'المضلع'!A14,"")</f>
        <v/>
      </c>
      <c r="B14" s="28">
        <f>IF(2&lt;='المضلع'!$K$5,'المضلع'!B14+'المضلع'!C14/60+'المضلع'!D14/3600,"")</f>
        <v/>
      </c>
      <c r="C14" s="28">
        <f>IF(2&lt;='المضلع'!$K$5,B14-('المضلع'!$K$7-'المضلع'!$K$8)/'المضلع'!$K$5,"")</f>
        <v/>
      </c>
      <c r="D14" s="28">
        <f>IF(2&lt;='المضلع'!$K$5,MOD(D13+IF('المضلع'!$D$8="مع عقارب الساعة",180-C14,C14-180),360),"")</f>
        <v/>
      </c>
      <c r="E14" s="15">
        <f>IF(2&lt;='المضلع'!$K$5,INT(MOD(ROUND(MOD(D14,360)*3600,0),1296000)/3600)&amp;"°"&amp;TEXT(INT(MOD(MOD(ROUND(MOD(D14,360)*3600,0),1296000),3600)/60),"00")&amp;"'"&amp;TEXT(MOD(MOD(ROUND(MOD(D14,360)*3600,0),1296000),60),"00")&amp;"""","")</f>
        <v/>
      </c>
      <c r="F14" s="18">
        <f>IF(2&lt;='المضلع'!$K$5,'المضلع'!E14*COS(RADIANS(D14)),"")</f>
        <v/>
      </c>
      <c r="G14" s="18">
        <f>IF(2&lt;='المضلع'!$K$5,'المضلع'!E14*SIN(RADIANS(D14)),"")</f>
        <v/>
      </c>
      <c r="H14" s="18">
        <f>IF(2&lt;='المضلع'!$K$5,-'المضلع'!$K$13*'المضلع'!E14/'المضلع'!$K$12,"")</f>
        <v/>
      </c>
      <c r="I14" s="18">
        <f>IF(2&lt;='المضلع'!$K$5,-'المضلع'!$K$14*'المضلع'!E14/'المضلع'!$K$12,"")</f>
        <v/>
      </c>
      <c r="J14" s="18">
        <f>IF(2&lt;='المضلع'!$K$5,F14+H14,"")</f>
        <v/>
      </c>
      <c r="K14" s="18">
        <f>IF(2&lt;='المضلع'!$K$5,G14+I14,"")</f>
        <v/>
      </c>
      <c r="L14" s="23">
        <f>IF(2&lt;='المضلع'!$K$5,L13+J13,"")</f>
        <v/>
      </c>
      <c r="M14" s="23">
        <f>IF(2&lt;='المضلع'!$K$5,M13+K13,"")</f>
        <v/>
      </c>
      <c r="N14" s="15">
        <f>IF(2&lt;='المضلع'!$K$5,N13&amp;" "&amp;SUBSTITUTE(ROUND(M14,3)&amp;"",",",".")&amp;","&amp;SUBSTITUTE(ROUND(L14,3)&amp;"",",","."),N13)</f>
        <v/>
      </c>
      <c r="O14" s="23">
        <f>IF(2&lt;='المضلع'!$K$5,M14*INDEX($L$13:$L$24,IF(2='المضلع'!$K$5,1,2+1))-INDEX($M$13:$M$24,IF(2='المضلع'!$K$5,1,2+1))*L14,0)</f>
        <v/>
      </c>
    </row>
    <row r="15">
      <c r="A15" s="15">
        <f>IF(3&lt;='المضلع'!$K$5,'المضلع'!A15,"")</f>
        <v/>
      </c>
      <c r="B15" s="28">
        <f>IF(3&lt;='المضلع'!$K$5,'المضلع'!B15+'المضلع'!C15/60+'المضلع'!D15/3600,"")</f>
        <v/>
      </c>
      <c r="C15" s="28">
        <f>IF(3&lt;='المضلع'!$K$5,B15-('المضلع'!$K$7-'المضلع'!$K$8)/'المضلع'!$K$5,"")</f>
        <v/>
      </c>
      <c r="D15" s="28">
        <f>IF(3&lt;='المضلع'!$K$5,MOD(D14+IF('المضلع'!$D$8="مع عقارب الساعة",180-C15,C15-180),360),"")</f>
        <v/>
      </c>
      <c r="E15" s="15">
        <f>IF(3&lt;='المضلع'!$K$5,INT(MOD(ROUND(MOD(D15,360)*3600,0),1296000)/3600)&amp;"°"&amp;TEXT(INT(MOD(MOD(ROUND(MOD(D15,360)*3600,0),1296000),3600)/60),"00")&amp;"'"&amp;TEXT(MOD(MOD(ROUND(MOD(D15,360)*3600,0),1296000),60),"00")&amp;"""","")</f>
        <v/>
      </c>
      <c r="F15" s="18">
        <f>IF(3&lt;='المضلع'!$K$5,'المضلع'!E15*COS(RADIANS(D15)),"")</f>
        <v/>
      </c>
      <c r="G15" s="18">
        <f>IF(3&lt;='المضلع'!$K$5,'المضلع'!E15*SIN(RADIANS(D15)),"")</f>
        <v/>
      </c>
      <c r="H15" s="18">
        <f>IF(3&lt;='المضلع'!$K$5,-'المضلع'!$K$13*'المضلع'!E15/'المضلع'!$K$12,"")</f>
        <v/>
      </c>
      <c r="I15" s="18">
        <f>IF(3&lt;='المضلع'!$K$5,-'المضلع'!$K$14*'المضلع'!E15/'المضلع'!$K$12,"")</f>
        <v/>
      </c>
      <c r="J15" s="18">
        <f>IF(3&lt;='المضلع'!$K$5,F15+H15,"")</f>
        <v/>
      </c>
      <c r="K15" s="18">
        <f>IF(3&lt;='المضلع'!$K$5,G15+I15,"")</f>
        <v/>
      </c>
      <c r="L15" s="23">
        <f>IF(3&lt;='المضلع'!$K$5,L14+J14,"")</f>
        <v/>
      </c>
      <c r="M15" s="23">
        <f>IF(3&lt;='المضلع'!$K$5,M14+K14,"")</f>
        <v/>
      </c>
      <c r="N15" s="15">
        <f>IF(3&lt;='المضلع'!$K$5,N14&amp;" "&amp;SUBSTITUTE(ROUND(M15,3)&amp;"",",",".")&amp;","&amp;SUBSTITUTE(ROUND(L15,3)&amp;"",",","."),N14)</f>
        <v/>
      </c>
      <c r="O15" s="23">
        <f>IF(3&lt;='المضلع'!$K$5,M15*INDEX($L$13:$L$24,IF(3='المضلع'!$K$5,1,3+1))-INDEX($M$13:$M$24,IF(3='المضلع'!$K$5,1,3+1))*L15,0)</f>
        <v/>
      </c>
    </row>
    <row r="16">
      <c r="A16" s="15">
        <f>IF(4&lt;='المضلع'!$K$5,'المضلع'!A16,"")</f>
        <v/>
      </c>
      <c r="B16" s="28">
        <f>IF(4&lt;='المضلع'!$K$5,'المضلع'!B16+'المضلع'!C16/60+'المضلع'!D16/3600,"")</f>
        <v/>
      </c>
      <c r="C16" s="28">
        <f>IF(4&lt;='المضلع'!$K$5,B16-('المضلع'!$K$7-'المضلع'!$K$8)/'المضلع'!$K$5,"")</f>
        <v/>
      </c>
      <c r="D16" s="28">
        <f>IF(4&lt;='المضلع'!$K$5,MOD(D15+IF('المضلع'!$D$8="مع عقارب الساعة",180-C16,C16-180),360),"")</f>
        <v/>
      </c>
      <c r="E16" s="15">
        <f>IF(4&lt;='المضلع'!$K$5,INT(MOD(ROUND(MOD(D16,360)*3600,0),1296000)/3600)&amp;"°"&amp;TEXT(INT(MOD(MOD(ROUND(MOD(D16,360)*3600,0),1296000),3600)/60),"00")&amp;"'"&amp;TEXT(MOD(MOD(ROUND(MOD(D16,360)*3600,0),1296000),60),"00")&amp;"""","")</f>
        <v/>
      </c>
      <c r="F16" s="18">
        <f>IF(4&lt;='المضلع'!$K$5,'المضلع'!E16*COS(RADIANS(D16)),"")</f>
        <v/>
      </c>
      <c r="G16" s="18">
        <f>IF(4&lt;='المضلع'!$K$5,'المضلع'!E16*SIN(RADIANS(D16)),"")</f>
        <v/>
      </c>
      <c r="H16" s="18">
        <f>IF(4&lt;='المضلع'!$K$5,-'المضلع'!$K$13*'المضلع'!E16/'المضلع'!$K$12,"")</f>
        <v/>
      </c>
      <c r="I16" s="18">
        <f>IF(4&lt;='المضلع'!$K$5,-'المضلع'!$K$14*'المضلع'!E16/'المضلع'!$K$12,"")</f>
        <v/>
      </c>
      <c r="J16" s="18">
        <f>IF(4&lt;='المضلع'!$K$5,F16+H16,"")</f>
        <v/>
      </c>
      <c r="K16" s="18">
        <f>IF(4&lt;='المضلع'!$K$5,G16+I16,"")</f>
        <v/>
      </c>
      <c r="L16" s="23">
        <f>IF(4&lt;='المضلع'!$K$5,L15+J15,"")</f>
        <v/>
      </c>
      <c r="M16" s="23">
        <f>IF(4&lt;='المضلع'!$K$5,M15+K15,"")</f>
        <v/>
      </c>
      <c r="N16" s="15">
        <f>IF(4&lt;='المضلع'!$K$5,N15&amp;" "&amp;SUBSTITUTE(ROUND(M16,3)&amp;"",",",".")&amp;","&amp;SUBSTITUTE(ROUND(L16,3)&amp;"",",","."),N15)</f>
        <v/>
      </c>
      <c r="O16" s="23">
        <f>IF(4&lt;='المضلع'!$K$5,M16*INDEX($L$13:$L$24,IF(4='المضلع'!$K$5,1,4+1))-INDEX($M$13:$M$24,IF(4='المضلع'!$K$5,1,4+1))*L16,0)</f>
        <v/>
      </c>
    </row>
    <row r="17">
      <c r="A17" s="15">
        <f>IF(5&lt;='المضلع'!$K$5,'المضلع'!A17,"")</f>
        <v/>
      </c>
      <c r="B17" s="28">
        <f>IF(5&lt;='المضلع'!$K$5,'المضلع'!B17+'المضلع'!C17/60+'المضلع'!D17/3600,"")</f>
        <v/>
      </c>
      <c r="C17" s="28">
        <f>IF(5&lt;='المضلع'!$K$5,B17-('المضلع'!$K$7-'المضلع'!$K$8)/'المضلع'!$K$5,"")</f>
        <v/>
      </c>
      <c r="D17" s="28">
        <f>IF(5&lt;='المضلع'!$K$5,MOD(D16+IF('المضلع'!$D$8="مع عقارب الساعة",180-C17,C17-180),360),"")</f>
        <v/>
      </c>
      <c r="E17" s="15">
        <f>IF(5&lt;='المضلع'!$K$5,INT(MOD(ROUND(MOD(D17,360)*3600,0),1296000)/3600)&amp;"°"&amp;TEXT(INT(MOD(MOD(ROUND(MOD(D17,360)*3600,0),1296000),3600)/60),"00")&amp;"'"&amp;TEXT(MOD(MOD(ROUND(MOD(D17,360)*3600,0),1296000),60),"00")&amp;"""","")</f>
        <v/>
      </c>
      <c r="F17" s="18">
        <f>IF(5&lt;='المضلع'!$K$5,'المضلع'!E17*COS(RADIANS(D17)),"")</f>
        <v/>
      </c>
      <c r="G17" s="18">
        <f>IF(5&lt;='المضلع'!$K$5,'المضلع'!E17*SIN(RADIANS(D17)),"")</f>
        <v/>
      </c>
      <c r="H17" s="18">
        <f>IF(5&lt;='المضلع'!$K$5,-'المضلع'!$K$13*'المضلع'!E17/'المضلع'!$K$12,"")</f>
        <v/>
      </c>
      <c r="I17" s="18">
        <f>IF(5&lt;='المضلع'!$K$5,-'المضلع'!$K$14*'المضلع'!E17/'المضلع'!$K$12,"")</f>
        <v/>
      </c>
      <c r="J17" s="18">
        <f>IF(5&lt;='المضلع'!$K$5,F17+H17,"")</f>
        <v/>
      </c>
      <c r="K17" s="18">
        <f>IF(5&lt;='المضلع'!$K$5,G17+I17,"")</f>
        <v/>
      </c>
      <c r="L17" s="23">
        <f>IF(5&lt;='المضلع'!$K$5,L16+J16,"")</f>
        <v/>
      </c>
      <c r="M17" s="23">
        <f>IF(5&lt;='المضلع'!$K$5,M16+K16,"")</f>
        <v/>
      </c>
      <c r="N17" s="15">
        <f>IF(5&lt;='المضلع'!$K$5,N16&amp;" "&amp;SUBSTITUTE(ROUND(M17,3)&amp;"",",",".")&amp;","&amp;SUBSTITUTE(ROUND(L17,3)&amp;"",",","."),N16)</f>
        <v/>
      </c>
      <c r="O17" s="23">
        <f>IF(5&lt;='المضلع'!$K$5,M17*INDEX($L$13:$L$24,IF(5='المضلع'!$K$5,1,5+1))-INDEX($M$13:$M$24,IF(5='المضلع'!$K$5,1,5+1))*L17,0)</f>
        <v/>
      </c>
    </row>
    <row r="18">
      <c r="A18" s="15">
        <f>IF(6&lt;='المضلع'!$K$5,'المضلع'!A18,"")</f>
        <v/>
      </c>
      <c r="B18" s="28">
        <f>IF(6&lt;='المضلع'!$K$5,'المضلع'!B18+'المضلع'!C18/60+'المضلع'!D18/3600,"")</f>
        <v/>
      </c>
      <c r="C18" s="28">
        <f>IF(6&lt;='المضلع'!$K$5,B18-('المضلع'!$K$7-'المضلع'!$K$8)/'المضلع'!$K$5,"")</f>
        <v/>
      </c>
      <c r="D18" s="28">
        <f>IF(6&lt;='المضلع'!$K$5,MOD(D17+IF('المضلع'!$D$8="مع عقارب الساعة",180-C18,C18-180),360),"")</f>
        <v/>
      </c>
      <c r="E18" s="15">
        <f>IF(6&lt;='المضلع'!$K$5,INT(MOD(ROUND(MOD(D18,360)*3600,0),1296000)/3600)&amp;"°"&amp;TEXT(INT(MOD(MOD(ROUND(MOD(D18,360)*3600,0),1296000),3600)/60),"00")&amp;"'"&amp;TEXT(MOD(MOD(ROUND(MOD(D18,360)*3600,0),1296000),60),"00")&amp;"""","")</f>
        <v/>
      </c>
      <c r="F18" s="18">
        <f>IF(6&lt;='المضلع'!$K$5,'المضلع'!E18*COS(RADIANS(D18)),"")</f>
        <v/>
      </c>
      <c r="G18" s="18">
        <f>IF(6&lt;='المضلع'!$K$5,'المضلع'!E18*SIN(RADIANS(D18)),"")</f>
        <v/>
      </c>
      <c r="H18" s="18">
        <f>IF(6&lt;='المضلع'!$K$5,-'المضلع'!$K$13*'المضلع'!E18/'المضلع'!$K$12,"")</f>
        <v/>
      </c>
      <c r="I18" s="18">
        <f>IF(6&lt;='المضلع'!$K$5,-'المضلع'!$K$14*'المضلع'!E18/'المضلع'!$K$12,"")</f>
        <v/>
      </c>
      <c r="J18" s="18">
        <f>IF(6&lt;='المضلع'!$K$5,F18+H18,"")</f>
        <v/>
      </c>
      <c r="K18" s="18">
        <f>IF(6&lt;='المضلع'!$K$5,G18+I18,"")</f>
        <v/>
      </c>
      <c r="L18" s="23">
        <f>IF(6&lt;='المضلع'!$K$5,L17+J17,"")</f>
        <v/>
      </c>
      <c r="M18" s="23">
        <f>IF(6&lt;='المضلع'!$K$5,M17+K17,"")</f>
        <v/>
      </c>
      <c r="N18" s="15">
        <f>IF(6&lt;='المضلع'!$K$5,N17&amp;" "&amp;SUBSTITUTE(ROUND(M18,3)&amp;"",",",".")&amp;","&amp;SUBSTITUTE(ROUND(L18,3)&amp;"",",","."),N17)</f>
        <v/>
      </c>
      <c r="O18" s="23">
        <f>IF(6&lt;='المضلع'!$K$5,M18*INDEX($L$13:$L$24,IF(6='المضلع'!$K$5,1,6+1))-INDEX($M$13:$M$24,IF(6='المضلع'!$K$5,1,6+1))*L18,0)</f>
        <v/>
      </c>
    </row>
    <row r="19">
      <c r="A19" s="15">
        <f>IF(7&lt;='المضلع'!$K$5,'المضلع'!A19,"")</f>
        <v/>
      </c>
      <c r="B19" s="28">
        <f>IF(7&lt;='المضلع'!$K$5,'المضلع'!B19+'المضلع'!C19/60+'المضلع'!D19/3600,"")</f>
        <v/>
      </c>
      <c r="C19" s="28">
        <f>IF(7&lt;='المضلع'!$K$5,B19-('المضلع'!$K$7-'المضلع'!$K$8)/'المضلع'!$K$5,"")</f>
        <v/>
      </c>
      <c r="D19" s="28">
        <f>IF(7&lt;='المضلع'!$K$5,MOD(D18+IF('المضلع'!$D$8="مع عقارب الساعة",180-C19,C19-180),360),"")</f>
        <v/>
      </c>
      <c r="E19" s="15">
        <f>IF(7&lt;='المضلع'!$K$5,INT(MOD(ROUND(MOD(D19,360)*3600,0),1296000)/3600)&amp;"°"&amp;TEXT(INT(MOD(MOD(ROUND(MOD(D19,360)*3600,0),1296000),3600)/60),"00")&amp;"'"&amp;TEXT(MOD(MOD(ROUND(MOD(D19,360)*3600,0),1296000),60),"00")&amp;"""","")</f>
        <v/>
      </c>
      <c r="F19" s="18">
        <f>IF(7&lt;='المضلع'!$K$5,'المضلع'!E19*COS(RADIANS(D19)),"")</f>
        <v/>
      </c>
      <c r="G19" s="18">
        <f>IF(7&lt;='المضلع'!$K$5,'المضلع'!E19*SIN(RADIANS(D19)),"")</f>
        <v/>
      </c>
      <c r="H19" s="18">
        <f>IF(7&lt;='المضلع'!$K$5,-'المضلع'!$K$13*'المضلع'!E19/'المضلع'!$K$12,"")</f>
        <v/>
      </c>
      <c r="I19" s="18">
        <f>IF(7&lt;='المضلع'!$K$5,-'المضلع'!$K$14*'المضلع'!E19/'المضلع'!$K$12,"")</f>
        <v/>
      </c>
      <c r="J19" s="18">
        <f>IF(7&lt;='المضلع'!$K$5,F19+H19,"")</f>
        <v/>
      </c>
      <c r="K19" s="18">
        <f>IF(7&lt;='المضلع'!$K$5,G19+I19,"")</f>
        <v/>
      </c>
      <c r="L19" s="23">
        <f>IF(7&lt;='المضلع'!$K$5,L18+J18,"")</f>
        <v/>
      </c>
      <c r="M19" s="23">
        <f>IF(7&lt;='المضلع'!$K$5,M18+K18,"")</f>
        <v/>
      </c>
      <c r="N19" s="15">
        <f>IF(7&lt;='المضلع'!$K$5,N18&amp;" "&amp;SUBSTITUTE(ROUND(M19,3)&amp;"",",",".")&amp;","&amp;SUBSTITUTE(ROUND(L19,3)&amp;"",",","."),N18)</f>
        <v/>
      </c>
      <c r="O19" s="23">
        <f>IF(7&lt;='المضلع'!$K$5,M19*INDEX($L$13:$L$24,IF(7='المضلع'!$K$5,1,7+1))-INDEX($M$13:$M$24,IF(7='المضلع'!$K$5,1,7+1))*L19,0)</f>
        <v/>
      </c>
    </row>
    <row r="20">
      <c r="A20" s="15">
        <f>IF(8&lt;='المضلع'!$K$5,'المضلع'!A20,"")</f>
        <v/>
      </c>
      <c r="B20" s="28">
        <f>IF(8&lt;='المضلع'!$K$5,'المضلع'!B20+'المضلع'!C20/60+'المضلع'!D20/3600,"")</f>
        <v/>
      </c>
      <c r="C20" s="28">
        <f>IF(8&lt;='المضلع'!$K$5,B20-('المضلع'!$K$7-'المضلع'!$K$8)/'المضلع'!$K$5,"")</f>
        <v/>
      </c>
      <c r="D20" s="28">
        <f>IF(8&lt;='المضلع'!$K$5,MOD(D19+IF('المضلع'!$D$8="مع عقارب الساعة",180-C20,C20-180),360),"")</f>
        <v/>
      </c>
      <c r="E20" s="15">
        <f>IF(8&lt;='المضلع'!$K$5,INT(MOD(ROUND(MOD(D20,360)*3600,0),1296000)/3600)&amp;"°"&amp;TEXT(INT(MOD(MOD(ROUND(MOD(D20,360)*3600,0),1296000),3600)/60),"00")&amp;"'"&amp;TEXT(MOD(MOD(ROUND(MOD(D20,360)*3600,0),1296000),60),"00")&amp;"""","")</f>
        <v/>
      </c>
      <c r="F20" s="18">
        <f>IF(8&lt;='المضلع'!$K$5,'المضلع'!E20*COS(RADIANS(D20)),"")</f>
        <v/>
      </c>
      <c r="G20" s="18">
        <f>IF(8&lt;='المضلع'!$K$5,'المضلع'!E20*SIN(RADIANS(D20)),"")</f>
        <v/>
      </c>
      <c r="H20" s="18">
        <f>IF(8&lt;='المضلع'!$K$5,-'المضلع'!$K$13*'المضلع'!E20/'المضلع'!$K$12,"")</f>
        <v/>
      </c>
      <c r="I20" s="18">
        <f>IF(8&lt;='المضلع'!$K$5,-'المضلع'!$K$14*'المضلع'!E20/'المضلع'!$K$12,"")</f>
        <v/>
      </c>
      <c r="J20" s="18">
        <f>IF(8&lt;='المضلع'!$K$5,F20+H20,"")</f>
        <v/>
      </c>
      <c r="K20" s="18">
        <f>IF(8&lt;='المضلع'!$K$5,G20+I20,"")</f>
        <v/>
      </c>
      <c r="L20" s="23">
        <f>IF(8&lt;='المضلع'!$K$5,L19+J19,"")</f>
        <v/>
      </c>
      <c r="M20" s="23">
        <f>IF(8&lt;='المضلع'!$K$5,M19+K19,"")</f>
        <v/>
      </c>
      <c r="N20" s="15">
        <f>IF(8&lt;='المضلع'!$K$5,N19&amp;" "&amp;SUBSTITUTE(ROUND(M20,3)&amp;"",",",".")&amp;","&amp;SUBSTITUTE(ROUND(L20,3)&amp;"",",","."),N19)</f>
        <v/>
      </c>
      <c r="O20" s="23">
        <f>IF(8&lt;='المضلع'!$K$5,M20*INDEX($L$13:$L$24,IF(8='المضلع'!$K$5,1,8+1))-INDEX($M$13:$M$24,IF(8='المضلع'!$K$5,1,8+1))*L20,0)</f>
        <v/>
      </c>
    </row>
    <row r="21">
      <c r="A21" s="15">
        <f>IF(9&lt;='المضلع'!$K$5,'المضلع'!A21,"")</f>
        <v/>
      </c>
      <c r="B21" s="28">
        <f>IF(9&lt;='المضلع'!$K$5,'المضلع'!B21+'المضلع'!C21/60+'المضلع'!D21/3600,"")</f>
        <v/>
      </c>
      <c r="C21" s="28">
        <f>IF(9&lt;='المضلع'!$K$5,B21-('المضلع'!$K$7-'المضلع'!$K$8)/'المضلع'!$K$5,"")</f>
        <v/>
      </c>
      <c r="D21" s="28">
        <f>IF(9&lt;='المضلع'!$K$5,MOD(D20+IF('المضلع'!$D$8="مع عقارب الساعة",180-C21,C21-180),360),"")</f>
        <v/>
      </c>
      <c r="E21" s="15">
        <f>IF(9&lt;='المضلع'!$K$5,INT(MOD(ROUND(MOD(D21,360)*3600,0),1296000)/3600)&amp;"°"&amp;TEXT(INT(MOD(MOD(ROUND(MOD(D21,360)*3600,0),1296000),3600)/60),"00")&amp;"'"&amp;TEXT(MOD(MOD(ROUND(MOD(D21,360)*3600,0),1296000),60),"00")&amp;"""","")</f>
        <v/>
      </c>
      <c r="F21" s="18">
        <f>IF(9&lt;='المضلع'!$K$5,'المضلع'!E21*COS(RADIANS(D21)),"")</f>
        <v/>
      </c>
      <c r="G21" s="18">
        <f>IF(9&lt;='المضلع'!$K$5,'المضلع'!E21*SIN(RADIANS(D21)),"")</f>
        <v/>
      </c>
      <c r="H21" s="18">
        <f>IF(9&lt;='المضلع'!$K$5,-'المضلع'!$K$13*'المضلع'!E21/'المضلع'!$K$12,"")</f>
        <v/>
      </c>
      <c r="I21" s="18">
        <f>IF(9&lt;='المضلع'!$K$5,-'المضلع'!$K$14*'المضلع'!E21/'المضلع'!$K$12,"")</f>
        <v/>
      </c>
      <c r="J21" s="18">
        <f>IF(9&lt;='المضلع'!$K$5,F21+H21,"")</f>
        <v/>
      </c>
      <c r="K21" s="18">
        <f>IF(9&lt;='المضلع'!$K$5,G21+I21,"")</f>
        <v/>
      </c>
      <c r="L21" s="23">
        <f>IF(9&lt;='المضلع'!$K$5,L20+J20,"")</f>
        <v/>
      </c>
      <c r="M21" s="23">
        <f>IF(9&lt;='المضلع'!$K$5,M20+K20,"")</f>
        <v/>
      </c>
      <c r="N21" s="15">
        <f>IF(9&lt;='المضلع'!$K$5,N20&amp;" "&amp;SUBSTITUTE(ROUND(M21,3)&amp;"",",",".")&amp;","&amp;SUBSTITUTE(ROUND(L21,3)&amp;"",",","."),N20)</f>
        <v/>
      </c>
      <c r="O21" s="23">
        <f>IF(9&lt;='المضلع'!$K$5,M21*INDEX($L$13:$L$24,IF(9='المضلع'!$K$5,1,9+1))-INDEX($M$13:$M$24,IF(9='المضلع'!$K$5,1,9+1))*L21,0)</f>
        <v/>
      </c>
    </row>
    <row r="22">
      <c r="A22" s="15">
        <f>IF(10&lt;='المضلع'!$K$5,'المضلع'!A22,"")</f>
        <v/>
      </c>
      <c r="B22" s="28">
        <f>IF(10&lt;='المضلع'!$K$5,'المضلع'!B22+'المضلع'!C22/60+'المضلع'!D22/3600,"")</f>
        <v/>
      </c>
      <c r="C22" s="28">
        <f>IF(10&lt;='المضلع'!$K$5,B22-('المضلع'!$K$7-'المضلع'!$K$8)/'المضلع'!$K$5,"")</f>
        <v/>
      </c>
      <c r="D22" s="28">
        <f>IF(10&lt;='المضلع'!$K$5,MOD(D21+IF('المضلع'!$D$8="مع عقارب الساعة",180-C22,C22-180),360),"")</f>
        <v/>
      </c>
      <c r="E22" s="15">
        <f>IF(10&lt;='المضلع'!$K$5,INT(MOD(ROUND(MOD(D22,360)*3600,0),1296000)/3600)&amp;"°"&amp;TEXT(INT(MOD(MOD(ROUND(MOD(D22,360)*3600,0),1296000),3600)/60),"00")&amp;"'"&amp;TEXT(MOD(MOD(ROUND(MOD(D22,360)*3600,0),1296000),60),"00")&amp;"""","")</f>
        <v/>
      </c>
      <c r="F22" s="18">
        <f>IF(10&lt;='المضلع'!$K$5,'المضلع'!E22*COS(RADIANS(D22)),"")</f>
        <v/>
      </c>
      <c r="G22" s="18">
        <f>IF(10&lt;='المضلع'!$K$5,'المضلع'!E22*SIN(RADIANS(D22)),"")</f>
        <v/>
      </c>
      <c r="H22" s="18">
        <f>IF(10&lt;='المضلع'!$K$5,-'المضلع'!$K$13*'المضلع'!E22/'المضلع'!$K$12,"")</f>
        <v/>
      </c>
      <c r="I22" s="18">
        <f>IF(10&lt;='المضلع'!$K$5,-'المضلع'!$K$14*'المضلع'!E22/'المضلع'!$K$12,"")</f>
        <v/>
      </c>
      <c r="J22" s="18">
        <f>IF(10&lt;='المضلع'!$K$5,F22+H22,"")</f>
        <v/>
      </c>
      <c r="K22" s="18">
        <f>IF(10&lt;='المضلع'!$K$5,G22+I22,"")</f>
        <v/>
      </c>
      <c r="L22" s="23">
        <f>IF(10&lt;='المضلع'!$K$5,L21+J21,"")</f>
        <v/>
      </c>
      <c r="M22" s="23">
        <f>IF(10&lt;='المضلع'!$K$5,M21+K21,"")</f>
        <v/>
      </c>
      <c r="N22" s="15">
        <f>IF(10&lt;='المضلع'!$K$5,N21&amp;" "&amp;SUBSTITUTE(ROUND(M22,3)&amp;"",",",".")&amp;","&amp;SUBSTITUTE(ROUND(L22,3)&amp;"",",","."),N21)</f>
        <v/>
      </c>
      <c r="O22" s="23">
        <f>IF(10&lt;='المضلع'!$K$5,M22*INDEX($L$13:$L$24,IF(10='المضلع'!$K$5,1,10+1))-INDEX($M$13:$M$24,IF(10='المضلع'!$K$5,1,10+1))*L22,0)</f>
        <v/>
      </c>
    </row>
    <row r="23">
      <c r="A23" s="15">
        <f>IF(11&lt;='المضلع'!$K$5,'المضلع'!A23,"")</f>
        <v/>
      </c>
      <c r="B23" s="28">
        <f>IF(11&lt;='المضلع'!$K$5,'المضلع'!B23+'المضلع'!C23/60+'المضلع'!D23/3600,"")</f>
        <v/>
      </c>
      <c r="C23" s="28">
        <f>IF(11&lt;='المضلع'!$K$5,B23-('المضلع'!$K$7-'المضلع'!$K$8)/'المضلع'!$K$5,"")</f>
        <v/>
      </c>
      <c r="D23" s="28">
        <f>IF(11&lt;='المضلع'!$K$5,MOD(D22+IF('المضلع'!$D$8="مع عقارب الساعة",180-C23,C23-180),360),"")</f>
        <v/>
      </c>
      <c r="E23" s="15">
        <f>IF(11&lt;='المضلع'!$K$5,INT(MOD(ROUND(MOD(D23,360)*3600,0),1296000)/3600)&amp;"°"&amp;TEXT(INT(MOD(MOD(ROUND(MOD(D23,360)*3600,0),1296000),3600)/60),"00")&amp;"'"&amp;TEXT(MOD(MOD(ROUND(MOD(D23,360)*3600,0),1296000),60),"00")&amp;"""","")</f>
        <v/>
      </c>
      <c r="F23" s="18">
        <f>IF(11&lt;='المضلع'!$K$5,'المضلع'!E23*COS(RADIANS(D23)),"")</f>
        <v/>
      </c>
      <c r="G23" s="18">
        <f>IF(11&lt;='المضلع'!$K$5,'المضلع'!E23*SIN(RADIANS(D23)),"")</f>
        <v/>
      </c>
      <c r="H23" s="18">
        <f>IF(11&lt;='المضلع'!$K$5,-'المضلع'!$K$13*'المضلع'!E23/'المضلع'!$K$12,"")</f>
        <v/>
      </c>
      <c r="I23" s="18">
        <f>IF(11&lt;='المضلع'!$K$5,-'المضلع'!$K$14*'المضلع'!E23/'المضلع'!$K$12,"")</f>
        <v/>
      </c>
      <c r="J23" s="18">
        <f>IF(11&lt;='المضلع'!$K$5,F23+H23,"")</f>
        <v/>
      </c>
      <c r="K23" s="18">
        <f>IF(11&lt;='المضلع'!$K$5,G23+I23,"")</f>
        <v/>
      </c>
      <c r="L23" s="23">
        <f>IF(11&lt;='المضلع'!$K$5,L22+J22,"")</f>
        <v/>
      </c>
      <c r="M23" s="23">
        <f>IF(11&lt;='المضلع'!$K$5,M22+K22,"")</f>
        <v/>
      </c>
      <c r="N23" s="15">
        <f>IF(11&lt;='المضلع'!$K$5,N22&amp;" "&amp;SUBSTITUTE(ROUND(M23,3)&amp;"",",",".")&amp;","&amp;SUBSTITUTE(ROUND(L23,3)&amp;"",",","."),N22)</f>
        <v/>
      </c>
      <c r="O23" s="23">
        <f>IF(11&lt;='المضلع'!$K$5,M23*INDEX($L$13:$L$24,IF(11='المضلع'!$K$5,1,11+1))-INDEX($M$13:$M$24,IF(11='المضلع'!$K$5,1,11+1))*L23,0)</f>
        <v/>
      </c>
    </row>
    <row r="24">
      <c r="A24" s="15">
        <f>IF(12&lt;='المضلع'!$K$5,'المضلع'!A24,"")</f>
        <v/>
      </c>
      <c r="B24" s="28">
        <f>IF(12&lt;='المضلع'!$K$5,'المضلع'!B24+'المضلع'!C24/60+'المضلع'!D24/3600,"")</f>
        <v/>
      </c>
      <c r="C24" s="28">
        <f>IF(12&lt;='المضلع'!$K$5,B24-('المضلع'!$K$7-'المضلع'!$K$8)/'المضلع'!$K$5,"")</f>
        <v/>
      </c>
      <c r="D24" s="28">
        <f>IF(12&lt;='المضلع'!$K$5,MOD(D23+IF('المضلع'!$D$8="مع عقارب الساعة",180-C24,C24-180),360),"")</f>
        <v/>
      </c>
      <c r="E24" s="15">
        <f>IF(12&lt;='المضلع'!$K$5,INT(MOD(ROUND(MOD(D24,360)*3600,0),1296000)/3600)&amp;"°"&amp;TEXT(INT(MOD(MOD(ROUND(MOD(D24,360)*3600,0),1296000),3600)/60),"00")&amp;"'"&amp;TEXT(MOD(MOD(ROUND(MOD(D24,360)*3600,0),1296000),60),"00")&amp;"""","")</f>
        <v/>
      </c>
      <c r="F24" s="18">
        <f>IF(12&lt;='المضلع'!$K$5,'المضلع'!E24*COS(RADIANS(D24)),"")</f>
        <v/>
      </c>
      <c r="G24" s="18">
        <f>IF(12&lt;='المضلع'!$K$5,'المضلع'!E24*SIN(RADIANS(D24)),"")</f>
        <v/>
      </c>
      <c r="H24" s="18">
        <f>IF(12&lt;='المضلع'!$K$5,-'المضلع'!$K$13*'المضلع'!E24/'المضلع'!$K$12,"")</f>
        <v/>
      </c>
      <c r="I24" s="18">
        <f>IF(12&lt;='المضلع'!$K$5,-'المضلع'!$K$14*'المضلع'!E24/'المضلع'!$K$12,"")</f>
        <v/>
      </c>
      <c r="J24" s="18">
        <f>IF(12&lt;='المضلع'!$K$5,F24+H24,"")</f>
        <v/>
      </c>
      <c r="K24" s="18">
        <f>IF(12&lt;='المضلع'!$K$5,G24+I24,"")</f>
        <v/>
      </c>
      <c r="L24" s="23">
        <f>IF(12&lt;='المضلع'!$K$5,L23+J23,"")</f>
        <v/>
      </c>
      <c r="M24" s="23">
        <f>IF(12&lt;='المضلع'!$K$5,M23+K23,"")</f>
        <v/>
      </c>
      <c r="N24" s="15">
        <f>IF(12&lt;='المضلع'!$K$5,N23&amp;" "&amp;SUBSTITUTE(ROUND(M24,3)&amp;"",",",".")&amp;","&amp;SUBSTITUTE(ROUND(L24,3)&amp;"",",","."),N23)</f>
        <v/>
      </c>
      <c r="O24" s="23">
        <f>IF(12&lt;='المضلع'!$K$5,M24*INDEX($L$13:$L$24,IF(12='المضلع'!$K$5,1,12+1))-INDEX($M$13:$M$24,IF(12='المضلع'!$K$5,1,12+1))*L24,0)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O1"/>
    <mergeCell ref="A2:O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B20"/>
  <sheetViews>
    <sheetView showGridLines="0" rightToLeft="1" zoomScale="100" workbookViewId="0">
      <selection activeCell="A1" sqref="A1"/>
    </sheetView>
  </sheetViews>
  <sheetFormatPr baseColWidth="8" defaultRowHeight="15"/>
  <cols>
    <col width="110" customWidth="1" min="1" max="1"/>
    <col width="44" customWidth="1" min="2" max="2"/>
  </cols>
  <sheetData>
    <row r="1" ht="36" customHeight="1">
      <c r="A1" s="1" t="inlineStr">
        <is>
          <t>أوامر أوتوكاد</t>
        </is>
      </c>
      <c r="B1" s="2" t="n"/>
    </row>
    <row r="2" ht="18" customHeight="1">
      <c r="A2" s="3" t="inlineStr">
        <is>
          <t>انسخ الخلية والصقها في سطر أوامر أوتوكاد</t>
        </is>
      </c>
      <c r="B2" s="4" t="n"/>
    </row>
    <row r="3"/>
    <row r="4" ht="22" customHeight="1">
      <c r="A4" s="5" t="inlineStr">
        <is>
          <t>المضلع المعدّل كخط متصل مغلق</t>
        </is>
      </c>
      <c r="B4" s="6" t="n"/>
    </row>
    <row r="5">
      <c r="A5" s="29">
        <f>"PLINE"&amp;'الحسابات'!$N$24&amp;" C"</f>
        <v/>
      </c>
      <c r="B5" s="30" t="inlineStr">
        <is>
          <t>C = إغلاق الخط</t>
        </is>
      </c>
    </row>
    <row r="6"/>
    <row r="7" ht="22" customHeight="1">
      <c r="A7" s="5" t="inlineStr">
        <is>
          <t>نقاط المحطات</t>
        </is>
      </c>
      <c r="B7" s="6" t="n"/>
    </row>
    <row r="8">
      <c r="A8" s="29">
        <f>IF(ISNUMBER('الحسابات'!L13),"POINT "&amp;SUBSTITUTE(ROUND('الحسابات'!M13,3)&amp;"",",",".")&amp;","&amp;SUBSTITUTE(ROUND('الحسابات'!L13,3)&amp;"",",",".")&amp;",0","")</f>
        <v/>
      </c>
    </row>
    <row r="9">
      <c r="A9" s="29">
        <f>IF(ISNUMBER('الحسابات'!L14),"POINT "&amp;SUBSTITUTE(ROUND('الحسابات'!M14,3)&amp;"",",",".")&amp;","&amp;SUBSTITUTE(ROUND('الحسابات'!L14,3)&amp;"",",",".")&amp;",0","")</f>
        <v/>
      </c>
    </row>
    <row r="10">
      <c r="A10" s="29">
        <f>IF(ISNUMBER('الحسابات'!L15),"POINT "&amp;SUBSTITUTE(ROUND('الحسابات'!M15,3)&amp;"",",",".")&amp;","&amp;SUBSTITUTE(ROUND('الحسابات'!L15,3)&amp;"",",",".")&amp;",0","")</f>
        <v/>
      </c>
    </row>
    <row r="11">
      <c r="A11" s="29">
        <f>IF(ISNUMBER('الحسابات'!L16),"POINT "&amp;SUBSTITUTE(ROUND('الحسابات'!M16,3)&amp;"",",",".")&amp;","&amp;SUBSTITUTE(ROUND('الحسابات'!L16,3)&amp;"",",",".")&amp;",0","")</f>
        <v/>
      </c>
    </row>
    <row r="12">
      <c r="A12" s="29">
        <f>IF(ISNUMBER('الحسابات'!L17),"POINT "&amp;SUBSTITUTE(ROUND('الحسابات'!M17,3)&amp;"",",",".")&amp;","&amp;SUBSTITUTE(ROUND('الحسابات'!L17,3)&amp;"",",",".")&amp;",0","")</f>
        <v/>
      </c>
    </row>
    <row r="13">
      <c r="A13" s="29">
        <f>IF(ISNUMBER('الحسابات'!L18),"POINT "&amp;SUBSTITUTE(ROUND('الحسابات'!M18,3)&amp;"",",",".")&amp;","&amp;SUBSTITUTE(ROUND('الحسابات'!L18,3)&amp;"",",",".")&amp;",0","")</f>
        <v/>
      </c>
    </row>
    <row r="14">
      <c r="A14" s="29">
        <f>IF(ISNUMBER('الحسابات'!L19),"POINT "&amp;SUBSTITUTE(ROUND('الحسابات'!M19,3)&amp;"",",",".")&amp;","&amp;SUBSTITUTE(ROUND('الحسابات'!L19,3)&amp;"",",",".")&amp;",0","")</f>
        <v/>
      </c>
    </row>
    <row r="15">
      <c r="A15" s="29">
        <f>IF(ISNUMBER('الحسابات'!L20),"POINT "&amp;SUBSTITUTE(ROUND('الحسابات'!M20,3)&amp;"",",",".")&amp;","&amp;SUBSTITUTE(ROUND('الحسابات'!L20,3)&amp;"",",",".")&amp;",0","")</f>
        <v/>
      </c>
    </row>
    <row r="16">
      <c r="A16" s="29">
        <f>IF(ISNUMBER('الحسابات'!L21),"POINT "&amp;SUBSTITUTE(ROUND('الحسابات'!M21,3)&amp;"",",",".")&amp;","&amp;SUBSTITUTE(ROUND('الحسابات'!L21,3)&amp;"",",",".")&amp;",0","")</f>
        <v/>
      </c>
    </row>
    <row r="17">
      <c r="A17" s="29">
        <f>IF(ISNUMBER('الحسابات'!L22),"POINT "&amp;SUBSTITUTE(ROUND('الحسابات'!M22,3)&amp;"",",",".")&amp;","&amp;SUBSTITUTE(ROUND('الحسابات'!L22,3)&amp;"",",",".")&amp;",0","")</f>
        <v/>
      </c>
    </row>
    <row r="18">
      <c r="A18" s="29">
        <f>IF(ISNUMBER('الحسابات'!L23),"POINT "&amp;SUBSTITUTE(ROUND('الحسابات'!M23,3)&amp;"",",",".")&amp;","&amp;SUBSTITUTE(ROUND('الحسابات'!L23,3)&amp;"",",",".")&amp;",0","")</f>
        <v/>
      </c>
    </row>
    <row r="19">
      <c r="A19" s="29">
        <f>IF(ISNUMBER('الحسابات'!L24),"POINT "&amp;SUBSTITUTE(ROUND('الحسابات'!M24,3)&amp;"",",",".")&amp;","&amp;SUBSTITUTE(ROUND('الحسابات'!L24,3)&amp;"",",",".")&amp;",0","")</f>
        <v/>
      </c>
    </row>
    <row r="20">
      <c r="A20" s="31" t="inlineStr">
        <is>
          <t>انسخ فقط الأسطر غير الفارغة.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4:B4"/>
    <mergeCell ref="A20:B20"/>
    <mergeCell ref="A2:B2"/>
    <mergeCell ref="A7:B7"/>
    <mergeCell ref="A1:B1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5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حساب وتصحيح المضلع المغلق (طريقة بودتش)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32" t="inlineStr">
        <is>
          <t>يحسب الشيت مضلعًا مغلقًا: يصحّح الزوايا الداخلية بتوزيع الخطأ بالتساوي، ويحسب الاتجاهات والإحداثيات، ثم يوزع خطأ الإغلاق الخطي بطريقة بودتش (البوصلة) بالتناسب مع الأطوال، ويعطي دقة المضلع ومساحته وأمر أوتوكاد لرسمه.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33" t="n">
        <v>1</v>
      </c>
      <c r="B8" s="32" t="inlineStr">
        <is>
          <t>أدخل إحداثيات المحطة 1 واتجاه الضلع 1←2 وطريقة المسير.</t>
        </is>
      </c>
    </row>
    <row r="9" ht="30" customHeight="1">
      <c r="A9" s="33" t="n">
        <v>2</v>
      </c>
      <c r="B9" s="32" t="inlineStr">
        <is>
          <t>اكتب الزاوية الداخلية المقاسة عند كل محطة (د ق ث) والطول إلى المحطة التالية. آخر ضلع يرجع للمحطة 1.</t>
        </is>
      </c>
    </row>
    <row r="10" ht="20" customHeight="1">
      <c r="A10" s="33" t="n">
        <v>3</v>
      </c>
      <c r="B10" s="32" t="inlineStr">
        <is>
          <t>راجع خطأ الزوايا مقابل المسموح ثم الدقة النسبية.</t>
        </is>
      </c>
    </row>
    <row r="11" ht="20" customHeight="1">
      <c r="A11" s="33" t="n">
        <v>4</v>
      </c>
      <c r="B11" s="32" t="inlineStr">
        <is>
          <t>خذ الإحداثيات النهائية من ورقة «الحسابات» أو انسخ أمر الخط المتصل إلى أوتوكاد.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34" t="inlineStr"/>
      <c r="B14" s="32" t="inlineStr">
        <is>
          <t>خلية إدخال: اكتب أو اختر قيمتك هنا (خط أزرق على خلفية صفراء).</t>
        </is>
      </c>
    </row>
    <row r="15">
      <c r="A15" s="35" t="inlineStr"/>
      <c r="B15" s="32" t="inlineStr">
        <is>
          <t>خلية محسوبة: معادلة تلقائية، محمية من المسح بالخطأ.</t>
        </is>
      </c>
    </row>
    <row r="16">
      <c r="A16" s="36" t="inlineStr"/>
      <c r="B16" s="32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20" customHeight="1">
      <c r="A19" s="37" t="inlineStr">
        <is>
          <t>•</t>
        </is>
      </c>
      <c r="B19" s="38" t="inlineStr">
        <is>
          <t>الشيت للمضلع المغلق ذي الزوايا الداخلية. للمسير المفتوح استخدم شيتات أخرى.</t>
        </is>
      </c>
    </row>
    <row r="20" ht="20" customHeight="1">
      <c r="A20" s="37" t="inlineStr">
        <is>
          <t>•</t>
        </is>
      </c>
      <c r="B20" s="38" t="inlineStr">
        <is>
          <t>إذا زادت زوايا الخطأ عن المسموح فأعد القياس بدل التوزيع.</t>
        </is>
      </c>
    </row>
    <row r="21" ht="20" customHeight="1">
      <c r="A21" s="37" t="inlineStr">
        <is>
          <t>•</t>
        </is>
      </c>
      <c r="B21" s="38" t="inlineStr">
        <is>
          <t>تصحيح بودتش لا يعالج الأخطاء الجسيمة؛ راجع القياسات إذا كانت الدقة ضعيفة.</t>
        </is>
      </c>
    </row>
    <row r="22" ht="20" customHeight="1">
      <c r="A22" s="37" t="inlineStr">
        <is>
          <t>•</t>
        </is>
      </c>
      <c r="B22" s="38" t="inlineStr">
        <is>
          <t>المثال مضلع من ست محطات بقياسات واقعية صغيرة الخطأ.</t>
        </is>
      </c>
    </row>
    <row r="23" ht="20" customHeight="1">
      <c r="A23" s="37" t="inlineStr">
        <is>
          <t>•</t>
        </is>
      </c>
      <c r="B23" s="38" t="inlineStr">
        <is>
          <t>الأوراق محمية بدون كلمة مرور لحماية المعادلات. لإلغاء الحماية: مراجعة ← إلغاء حماية الورقة.</t>
        </is>
      </c>
    </row>
    <row r="24" ht="20" customHeight="1">
      <c r="A24" s="37" t="inlineStr">
        <is>
          <t>•</t>
        </is>
      </c>
      <c r="B24" s="38" t="inlineStr">
        <is>
          <t>البيانات الموجودة مثال توضيحي، امسحها واكتب بياناتك في الخلايا الصفراء فقط.</t>
        </is>
      </c>
    </row>
    <row r="25" ht="20" customHeight="1">
      <c r="A25" s="37" t="inlineStr">
        <is>
          <t>•</t>
        </is>
      </c>
      <c r="B25" s="3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TRV</dc:title>
  <dcterms:created xmlns:dcterms="http://purl.org/dc/terms/" xmlns:xsi="http://www.w3.org/2001/XMLSchema-instance" xsi:type="dcterms:W3CDTF">2026-10-23T01:06:17Z</dcterms:created>
  <dcterms:modified xmlns:dcterms="http://purl.org/dc/terms/" xmlns:xsi="http://www.w3.org/2001/XMLSchema-instance" xsi:type="dcterms:W3CDTF">2026-10-23T01:06:18Z</dcterms:modified>
</cp:coreProperties>
</file>