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reaker &amp; Cable" sheetId="1" state="visible" r:id="rId1"/>
    <sheet xmlns:r="http://schemas.openxmlformats.org/officeDocument/2006/relationships" name="Tables" sheetId="2" state="visible" r:id="rId2"/>
    <sheet xmlns:r="http://schemas.openxmlformats.org/officeDocument/2006/relationships" name="Guide" sheetId="3" state="visible" r:id="rId3"/>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0"/>
    <numFmt numFmtId="167" formatCode="0.00000"/>
    <numFmt numFmtId="168" formatCode="0.000"/>
  </numFmts>
  <fonts count="14">
    <font>
      <name val="Calibri"/>
      <family val="2"/>
      <color theme="1"/>
      <sz val="11"/>
      <scheme val="minor"/>
    </font>
    <font>
      <name val="Calibri"/>
      <b val="1"/>
      <color rgb="00FFFFFF"/>
      <sz val="16"/>
    </font>
    <font>
      <name val="Calibri"/>
      <color rgb="00FFFFFF"/>
      <sz val="9"/>
    </font>
    <font>
      <name val="Calibri"/>
      <b val="1"/>
      <color rgb="0004405F"/>
      <sz val="11"/>
    </font>
    <font>
      <name val="Calibri"/>
      <b val="1"/>
      <color rgb="000C2A3C"/>
      <sz val="10"/>
    </font>
    <font>
      <name val="Calibri"/>
      <color rgb="001F4FB5"/>
      <sz val="10"/>
    </font>
    <font>
      <name val="Calibri"/>
      <color rgb="004F7288"/>
      <sz val="9"/>
    </font>
    <font>
      <name val="Calibri"/>
      <b val="1"/>
      <color rgb="00FFFFFF"/>
      <sz val="10"/>
    </font>
    <font>
      <name val="Calibri"/>
      <b val="1"/>
      <color rgb="00FFFFFF"/>
      <sz val="9"/>
    </font>
    <font>
      <name val="Calibri"/>
      <b val="1"/>
      <color rgb="00FACC15"/>
      <sz val="18"/>
    </font>
    <font>
      <name val="Calibri"/>
      <b val="1"/>
      <color rgb="004F7288"/>
      <sz val="9"/>
    </font>
    <font>
      <name val="Calibri"/>
      <b val="1"/>
      <color rgb="00075985"/>
      <sz val="18"/>
    </font>
    <font>
      <name val="Calibri"/>
      <color rgb="000C2A3C"/>
      <sz val="10"/>
    </font>
    <font>
      <name val="Calibri"/>
      <b val="1"/>
      <color rgb="00FACC15"/>
      <sz val="10"/>
    </font>
  </fonts>
  <fills count="7">
    <fill>
      <patternFill/>
    </fill>
    <fill>
      <patternFill patternType="gray125"/>
    </fill>
    <fill>
      <patternFill patternType="solid">
        <fgColor rgb="00075985"/>
      </patternFill>
    </fill>
    <fill>
      <patternFill patternType="solid">
        <fgColor rgb="0004405F"/>
      </patternFill>
    </fill>
    <fill>
      <patternFill patternType="solid">
        <fgColor rgb="00D3E9F5"/>
      </patternFill>
    </fill>
    <fill>
      <patternFill patternType="solid">
        <fgColor rgb="00FFF6C9"/>
      </patternFill>
    </fill>
    <fill>
      <patternFill patternType="solid">
        <fgColor rgb="00DDEEF8"/>
      </patternFill>
    </fill>
  </fills>
  <borders count="8">
    <border>
      <left/>
      <right/>
      <top/>
      <bottom/>
      <diagonal/>
    </border>
    <border>
      <left style="thin">
        <color rgb="00A9CFE3"/>
      </left>
      <right style="thin">
        <color rgb="00A9CFE3"/>
      </right>
      <top style="thin">
        <color rgb="00A9CFE3"/>
      </top>
      <bottom style="thin">
        <color rgb="00A9CFE3"/>
      </bottom>
    </border>
    <border>
      <left/>
      <right/>
      <top style="thin">
        <color rgb="00A9CFE3"/>
      </top>
      <bottom/>
      <diagonal/>
    </border>
    <border>
      <left/>
      <right style="thin">
        <color rgb="00A9CFE3"/>
      </right>
      <top style="thin">
        <color rgb="00A9CFE3"/>
      </top>
      <bottom/>
      <diagonal/>
    </border>
    <border>
      <left/>
      <right/>
      <top style="thin">
        <color rgb="00A9CFE3"/>
      </top>
      <bottom style="thin">
        <color rgb="00A9CFE3"/>
      </bottom>
      <diagonal/>
    </border>
    <border>
      <left/>
      <right style="thin">
        <color rgb="00A9CFE3"/>
      </right>
      <top style="thin">
        <color rgb="00A9CFE3"/>
      </top>
      <bottom style="thin">
        <color rgb="00A9CFE3"/>
      </bottom>
      <diagonal/>
    </border>
    <border>
      <top style="medium">
        <color rgb="00FACC15"/>
      </top>
    </border>
    <border/>
  </borders>
  <cellStyleXfs count="1">
    <xf numFmtId="0" fontId="0" fillId="0" borderId="0"/>
  </cellStyleXfs>
  <cellXfs count="48">
    <xf numFmtId="0" fontId="0" fillId="0" borderId="0" pivotButton="0" quotePrefix="0" xfId="0"/>
    <xf numFmtId="0" fontId="1" fillId="2" borderId="0" applyAlignment="1" pivotButton="0" quotePrefix="0" xfId="0">
      <alignment horizontal="center" vertical="center" wrapText="1" readingOrder="1"/>
    </xf>
    <xf numFmtId="0" fontId="0" fillId="2" borderId="0" pivotButton="0" quotePrefix="0" xfId="0"/>
    <xf numFmtId="0" fontId="2" fillId="3" borderId="0" applyAlignment="1" pivotButton="0" quotePrefix="0" xfId="0">
      <alignment horizontal="center" vertical="center" wrapText="1" readingOrder="1"/>
    </xf>
    <xf numFmtId="0" fontId="0" fillId="3" borderId="0" pivotButton="0" quotePrefix="0" xfId="0"/>
    <xf numFmtId="0" fontId="3" fillId="4" borderId="1" applyAlignment="1" pivotButton="0" quotePrefix="0" xfId="0">
      <alignment horizontal="left" vertical="center" wrapText="1" readingOrder="1"/>
    </xf>
    <xf numFmtId="0" fontId="0" fillId="4" borderId="1" pivotButton="0" quotePrefix="0" xfId="0"/>
    <xf numFmtId="0" fontId="4" fillId="0" borderId="1" applyAlignment="1" pivotButton="0" quotePrefix="0" xfId="0">
      <alignment horizontal="left" vertical="center" wrapText="1" readingOrder="1"/>
    </xf>
    <xf numFmtId="0" fontId="5" fillId="5" borderId="1" applyAlignment="1" applyProtection="1" pivotButton="0" quotePrefix="0" xfId="0">
      <alignment horizontal="center" vertical="center" wrapText="1" readingOrder="1"/>
      <protection locked="0" hidden="0"/>
    </xf>
    <xf numFmtId="0" fontId="8" fillId="3" borderId="6" applyAlignment="1" pivotButton="0" quotePrefix="0" xfId="0">
      <alignment horizontal="center" vertical="center" wrapText="1" readingOrder="1"/>
    </xf>
    <xf numFmtId="0" fontId="0" fillId="3" borderId="6" pivotButton="0" quotePrefix="0" xfId="0"/>
    <xf numFmtId="0" fontId="10" fillId="4" borderId="6" applyAlignment="1" pivotButton="0" quotePrefix="0" xfId="0">
      <alignment horizontal="center" vertical="center" wrapText="1" readingOrder="1"/>
    </xf>
    <xf numFmtId="0" fontId="0" fillId="4" borderId="6" pivotButton="0" quotePrefix="0" xfId="0"/>
    <xf numFmtId="1" fontId="5" fillId="5" borderId="1" applyAlignment="1" applyProtection="1" pivotButton="0" quotePrefix="0" xfId="0">
      <alignment horizontal="center" vertical="center" wrapText="1" readingOrder="1"/>
      <protection locked="0" hidden="0"/>
    </xf>
    <xf numFmtId="0" fontId="6" fillId="0" borderId="1" applyAlignment="1" pivotButton="0" quotePrefix="0" xfId="0">
      <alignment horizontal="center" vertical="center" wrapText="1" readingOrder="1"/>
    </xf>
    <xf numFmtId="164" fontId="9" fillId="2" borderId="7" applyAlignment="1" pivotButton="0" quotePrefix="0" xfId="0">
      <alignment horizontal="center" vertical="center" wrapText="1" readingOrder="1"/>
    </xf>
    <xf numFmtId="0" fontId="0" fillId="2" borderId="7" pivotButton="0" quotePrefix="0" xfId="0"/>
    <xf numFmtId="1" fontId="11" fillId="6" borderId="7" applyAlignment="1" pivotButton="0" quotePrefix="0" xfId="0">
      <alignment horizontal="center" vertical="center" wrapText="1" readingOrder="1"/>
    </xf>
    <xf numFmtId="0" fontId="0" fillId="6" borderId="7" pivotButton="0" quotePrefix="0" xfId="0"/>
    <xf numFmtId="164" fontId="5" fillId="5" borderId="1" applyAlignment="1" applyProtection="1" pivotButton="0" quotePrefix="0" xfId="0">
      <alignment horizontal="center" vertical="center" wrapText="1" readingOrder="1"/>
      <protection locked="0" hidden="0"/>
    </xf>
    <xf numFmtId="2" fontId="5" fillId="5" borderId="1" applyAlignment="1" applyProtection="1" pivotButton="0" quotePrefix="0" xfId="0">
      <alignment horizontal="center" vertical="center" wrapText="1" readingOrder="1"/>
      <protection locked="0" hidden="0"/>
    </xf>
    <xf numFmtId="165" fontId="11" fillId="6" borderId="7" applyAlignment="1" pivotButton="0" quotePrefix="0" xfId="0">
      <alignment horizontal="center" vertical="center" wrapText="1" readingOrder="1"/>
    </xf>
    <xf numFmtId="164" fontId="11" fillId="6" borderId="7" applyAlignment="1" pivotButton="0" quotePrefix="0" xfId="0">
      <alignment horizontal="center" vertical="center" wrapText="1" readingOrder="1"/>
    </xf>
    <xf numFmtId="0" fontId="4" fillId="0" borderId="1" applyAlignment="1" pivotButton="0" quotePrefix="0" xfId="0">
      <alignment horizontal="center" vertical="center" wrapText="1" readingOrder="1"/>
    </xf>
    <xf numFmtId="0" fontId="0" fillId="0" borderId="1" pivotButton="0" quotePrefix="0" xfId="0"/>
    <xf numFmtId="168" fontId="4" fillId="6" borderId="1" applyAlignment="1" pivotButton="0" quotePrefix="0" xfId="0">
      <alignment horizontal="center" vertical="center" wrapText="1" readingOrder="1"/>
    </xf>
    <xf numFmtId="0" fontId="4" fillId="6" borderId="1" applyAlignment="1" pivotButton="0" quotePrefix="0" xfId="0">
      <alignment horizontal="center" vertical="center" wrapText="1" readingOrder="1"/>
    </xf>
    <xf numFmtId="164" fontId="4" fillId="6" borderId="1" applyAlignment="1" pivotButton="0" quotePrefix="0" xfId="0">
      <alignment horizontal="center" vertical="center" wrapText="1" readingOrder="1"/>
    </xf>
    <xf numFmtId="165" fontId="5" fillId="5" borderId="1" applyAlignment="1" applyProtection="1" pivotButton="0" quotePrefix="0" xfId="0">
      <alignment horizontal="center" vertical="center" wrapText="1" readingOrder="1"/>
      <protection locked="0" hidden="0"/>
    </xf>
    <xf numFmtId="0" fontId="7" fillId="2" borderId="1" applyAlignment="1" pivotButton="0" quotePrefix="0" xfId="0">
      <alignment horizontal="center" vertical="center" wrapText="1" readingOrder="1"/>
    </xf>
    <xf numFmtId="164" fontId="4" fillId="0" borderId="1" applyAlignment="1" pivotButton="0" quotePrefix="0" xfId="0">
      <alignment horizontal="left" vertical="center" wrapText="1" readingOrder="1"/>
    </xf>
    <xf numFmtId="1" fontId="12" fillId="6" borderId="1" applyAlignment="1" pivotButton="0" quotePrefix="0" xfId="0">
      <alignment horizontal="center" vertical="center" wrapText="1" readingOrder="1"/>
    </xf>
    <xf numFmtId="164" fontId="12" fillId="6" borderId="1" applyAlignment="1" pivotButton="0" quotePrefix="0" xfId="0">
      <alignment horizontal="center" vertical="center" wrapText="1" readingOrder="1"/>
    </xf>
    <xf numFmtId="2" fontId="12" fillId="6" borderId="1" applyAlignment="1" pivotButton="0" quotePrefix="0" xfId="0">
      <alignment horizontal="center" vertical="center" wrapText="1" readingOrder="1"/>
    </xf>
    <xf numFmtId="165" fontId="12" fillId="6" borderId="1" applyAlignment="1" pivotButton="0" quotePrefix="0" xfId="0">
      <alignment horizontal="center" vertical="center" wrapText="1" readingOrder="1"/>
    </xf>
    <xf numFmtId="0" fontId="12" fillId="6" borderId="1" applyAlignment="1" pivotButton="0" quotePrefix="0" xfId="0">
      <alignment horizontal="center" vertical="center" wrapText="1" readingOrder="1"/>
    </xf>
    <xf numFmtId="0" fontId="7" fillId="2" borderId="1" applyAlignment="1" pivotButton="0" quotePrefix="0" xfId="0">
      <alignment horizontal="left" vertical="center" wrapText="1" readingOrder="1"/>
    </xf>
    <xf numFmtId="164" fontId="5" fillId="5" borderId="1" applyAlignment="1" applyProtection="1" pivotButton="0" quotePrefix="0" xfId="0">
      <alignment horizontal="left" vertical="center" wrapText="1" readingOrder="1"/>
      <protection locked="0" hidden="0"/>
    </xf>
    <xf numFmtId="0" fontId="0" fillId="0" borderId="4" pivotButton="0" quotePrefix="0" xfId="0"/>
    <xf numFmtId="0" fontId="0" fillId="0" borderId="5" pivotButton="0" quotePrefix="0" xfId="0"/>
    <xf numFmtId="166" fontId="5" fillId="5" borderId="1" applyAlignment="1" applyProtection="1" pivotButton="0" quotePrefix="0" xfId="0">
      <alignment horizontal="center" vertical="center" wrapText="1" readingOrder="1"/>
      <protection locked="0" hidden="0"/>
    </xf>
    <xf numFmtId="167" fontId="5" fillId="5" borderId="1" applyAlignment="1" applyProtection="1" pivotButton="0" quotePrefix="0" xfId="0">
      <alignment horizontal="center" vertical="center" wrapText="1" readingOrder="1"/>
      <protection locked="0" hidden="0"/>
    </xf>
    <xf numFmtId="0" fontId="12" fillId="0" borderId="1" applyAlignment="1" pivotButton="0" quotePrefix="0" xfId="0">
      <alignment horizontal="left" vertical="center" wrapText="1" readingOrder="1"/>
    </xf>
    <xf numFmtId="0" fontId="5" fillId="5" borderId="1" applyAlignment="1" applyProtection="1" pivotButton="0" quotePrefix="0" xfId="0">
      <alignment horizontal="left" vertical="center" wrapText="1" readingOrder="1"/>
      <protection locked="0" hidden="0"/>
    </xf>
    <xf numFmtId="0" fontId="12" fillId="6" borderId="1" applyAlignment="1" pivotButton="0" quotePrefix="0" xfId="0">
      <alignment horizontal="left" vertical="center" wrapText="1" readingOrder="1"/>
    </xf>
    <xf numFmtId="0" fontId="12" fillId="2" borderId="1" applyAlignment="1" pivotButton="0" quotePrefix="0" xfId="0">
      <alignment horizontal="left" vertical="center" wrapText="1" readingOrder="1"/>
    </xf>
    <xf numFmtId="0" fontId="13" fillId="0" borderId="0" applyAlignment="1" pivotButton="0" quotePrefix="0" xfId="0">
      <alignment horizontal="left" vertical="center" wrapText="1" readingOrder="1"/>
    </xf>
    <xf numFmtId="0" fontId="12" fillId="0" borderId="0" applyAlignment="1" pivotButton="0" quotePrefix="0" xfId="0">
      <alignment horizontal="left" vertical="center" wrapText="1" readingOrder="1"/>
    </xf>
  </cellXfs>
  <cellStyles count="1">
    <cellStyle name="Normal" xfId="0" builtinId="0" hidden="0"/>
  </cellStyles>
  <dxfs count="2">
    <dxf>
      <font>
        <name val="Calibri"/>
        <b val="1"/>
        <color rgb="000C2A3C"/>
      </font>
      <fill>
        <patternFill patternType="solid">
          <fgColor rgb="00CFE8C9"/>
        </patternFill>
      </fill>
    </dxf>
    <dxf>
      <font>
        <name val="Calibri"/>
        <color rgb="000C2A3C"/>
      </font>
      <fill>
        <patternFill patternType="solid">
          <fgColor rgb="00F8D7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Voltage drop % by size</a:t>
            </a:r>
          </a:p>
        </rich>
      </tx>
    </title>
    <plotArea>
      <barChart>
        <barDir val="col"/>
        <grouping val="clustered"/>
        <ser>
          <idx val="0"/>
          <order val="0"/>
          <spPr>
            <a:solidFill xmlns:a="http://schemas.openxmlformats.org/drawingml/2006/main">
              <a:srgbClr val="075985"/>
            </a:solidFill>
            <a:ln xmlns:a="http://schemas.openxmlformats.org/drawingml/2006/main">
              <a:solidFill>
                <a:srgbClr val="075985"/>
              </a:solidFill>
              <a:prstDash val="solid"/>
            </a:ln>
          </spPr>
          <cat>
            <numRef>
              <f>'Breaker &amp; Cable'!$A$24:$A$39</f>
            </numRef>
          </cat>
          <val>
            <numRef>
              <f>'Breaker &amp; Cable'!$E$24:$E$39</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9</col>
      <colOff>0</colOff>
      <row>21</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FACC15"/>
    <outlinePr summaryBelow="1" summaryRight="1"/>
    <pageSetUpPr fitToPage="1"/>
  </sheetPr>
  <dimension ref="A1:H39"/>
  <sheetViews>
    <sheetView showGridLines="0" rightToLeft="0" zoomScale="100" workbookViewId="0">
      <pane ySplit="3" topLeftCell="A4" activePane="bottomLeft" state="frozen"/>
      <selection pane="bottomLeft" activeCell="A1" sqref="A1"/>
    </sheetView>
  </sheetViews>
  <sheetFormatPr baseColWidth="8" defaultRowHeight="15"/>
  <cols>
    <col width="42" customWidth="1" min="1" max="1"/>
    <col width="14" customWidth="1" min="2" max="2"/>
    <col width="12" customWidth="1" min="3" max="3"/>
    <col width="12" customWidth="1" min="4" max="4"/>
    <col width="13" customWidth="1" min="5" max="5"/>
    <col width="13" customWidth="1" min="6" max="6"/>
    <col width="13" customWidth="1" min="7" max="7"/>
    <col width="18" customWidth="1" min="8" max="8"/>
  </cols>
  <sheetData>
    <row r="1" ht="36" customHeight="1">
      <c r="A1" s="1" t="inlineStr">
        <is>
          <t>Breaker and Cable Size Selection with Derating and Voltage Drop</t>
        </is>
      </c>
      <c r="B1" s="2" t="n"/>
      <c r="C1" s="2" t="n"/>
      <c r="D1" s="2" t="n"/>
      <c r="E1" s="2" t="n"/>
      <c r="F1" s="2" t="n"/>
      <c r="G1" s="2" t="n"/>
      <c r="H1" s="2" t="n"/>
    </row>
    <row r="2" ht="18" customHeight="1">
      <c r="A2" s="3" t="inlineStr">
        <is>
          <t>Enter the load and installation conditions; the sheet finds design current, standard breaker and the smallest cable that meets ampacity and voltage drop</t>
        </is>
      </c>
      <c r="B2" s="4" t="n"/>
      <c r="C2" s="4" t="n"/>
      <c r="D2" s="4" t="n"/>
      <c r="E2" s="4" t="n"/>
      <c r="F2" s="4" t="n"/>
      <c r="G2" s="4" t="n"/>
      <c r="H2" s="4" t="n"/>
    </row>
    <row r="3"/>
    <row r="4" ht="22" customHeight="1">
      <c r="A4" s="5" t="inlineStr">
        <is>
          <t>Load</t>
        </is>
      </c>
      <c r="B4" s="6" t="n"/>
      <c r="C4" s="6" t="n"/>
    </row>
    <row r="5" ht="18" customHeight="1">
      <c r="A5" s="7" t="inlineStr">
        <is>
          <t>Phases</t>
        </is>
      </c>
      <c r="B5" s="8" t="inlineStr">
        <is>
          <t>3-phase</t>
        </is>
      </c>
      <c r="E5" s="9" t="inlineStr">
        <is>
          <t>Design current Ib (A)</t>
        </is>
      </c>
      <c r="F5" s="10" t="n"/>
      <c r="G5" s="11" t="inlineStr">
        <is>
          <t>Breaker In (A)</t>
        </is>
      </c>
      <c r="H5" s="12" t="n"/>
    </row>
    <row r="6" ht="40" customHeight="1">
      <c r="A6" s="7" t="inlineStr">
        <is>
          <t>System voltage (V)</t>
        </is>
      </c>
      <c r="B6" s="13" t="n">
        <v>400</v>
      </c>
      <c r="C6" s="14" t="inlineStr">
        <is>
          <t>line-to-line for 3-ph</t>
        </is>
      </c>
      <c r="E6" s="15">
        <f>IF($B$5="3-phase",$B$7*1000/(SQRT(3)*$B$6*$B$8*$B$9),$B$7*1000/($B$6*$B$8*$B$9))</f>
        <v/>
      </c>
      <c r="F6" s="16" t="n"/>
      <c r="G6" s="17">
        <f>IF(IF($B$5="3-phase",$B$7*1000/(SQRT(3)*$B$6*$B$8*$B$9),$B$7*1000/($B$6*$B$8*$B$9))&lt;=0,0,IF(IF($B$5="3-phase",$B$7*1000/(SQRT(3)*$B$6*$B$8*$B$9),$B$7*1000/($B$6*$B$8*$B$9))&gt;MAX('Tables'!$Q$4:$Q$26),"—",INDEX('Tables'!$Q$4:$Q$26,COUNTIF('Tables'!$Q$4:$Q$26,"&lt;"&amp;IF($B$5="3-phase",$B$7*1000/(SQRT(3)*$B$6*$B$8*$B$9),$B$7*1000/($B$6*$B$8*$B$9)))+1)))</f>
        <v/>
      </c>
      <c r="H6" s="18" t="n"/>
    </row>
    <row r="7">
      <c r="A7" s="7" t="inlineStr">
        <is>
          <t>Load power (kW)</t>
        </is>
      </c>
      <c r="B7" s="19" t="n">
        <v>22</v>
      </c>
      <c r="C7" s="14" t="inlineStr">
        <is>
          <t>kW</t>
        </is>
      </c>
    </row>
    <row r="8" ht="18" customHeight="1">
      <c r="A8" s="7" t="inlineStr">
        <is>
          <t>Power factor</t>
        </is>
      </c>
      <c r="B8" s="20" t="n">
        <v>0.86</v>
      </c>
      <c r="E8" s="9" t="inlineStr">
        <is>
          <t>Cable size (mm²)</t>
        </is>
      </c>
      <c r="F8" s="10" t="n"/>
      <c r="G8" s="11" t="inlineStr">
        <is>
          <t>Voltage drop</t>
        </is>
      </c>
      <c r="H8" s="12" t="n"/>
    </row>
    <row r="9" ht="34" customHeight="1">
      <c r="A9" s="7" t="inlineStr">
        <is>
          <t>Efficiency (motors)</t>
        </is>
      </c>
      <c r="B9" s="20" t="n">
        <v>0.92</v>
      </c>
      <c r="E9" s="15">
        <f>IFERROR(INDEX($A$24:$A$39,MATCH("OK",$H$24:$H$39,0)),"Too big: use parallel cables")</f>
        <v/>
      </c>
      <c r="F9" s="16" t="n"/>
      <c r="G9" s="21">
        <f>IFERROR(INDEX($E$24:$E$39,MATCH("OK",$H$24:$H$39,0)),"")</f>
        <v/>
      </c>
      <c r="H9" s="18" t="n"/>
    </row>
    <row r="10">
      <c r="A10" s="7" t="inlineStr">
        <is>
          <t>Load type</t>
        </is>
      </c>
      <c r="B10" s="8" t="inlineStr">
        <is>
          <t>Motor</t>
        </is>
      </c>
      <c r="H10">
        <f>INDEX(IF($B$13="PVC 70°C",'Tables'!$H$4:$H$18,'Tables'!$I$4:$I$18),(COUNTIF('Tables'!$G$4:$G$18,"&lt;"&amp;MAX(10,MIN(80,$B$15)))+1))*INDEX('Tables'!$L$4:$L$15,MIN(COUNTIF('Tables'!$K$4:$K$15,"&lt;"&amp;$B$16)+1,12))*INDEX('Tables'!$O$4:$O$7,MATCH($B$14,'Tables'!$N$4:$N$7,0))</f>
        <v/>
      </c>
    </row>
    <row r="11" ht="18" customHeight="1">
      <c r="A11" s="5" t="inlineStr">
        <is>
          <t>Cable and installation</t>
        </is>
      </c>
      <c r="B11" s="6" t="n"/>
      <c r="C11" s="6" t="n"/>
      <c r="E11" s="11" t="inlineStr">
        <is>
          <t>Cable Iz (A)</t>
        </is>
      </c>
      <c r="F11" s="12" t="n"/>
      <c r="G11" s="11" t="inlineStr">
        <is>
          <t>Breaking capacity (kA)</t>
        </is>
      </c>
      <c r="H11" s="12" t="n"/>
    </row>
    <row r="12" ht="34" customHeight="1">
      <c r="A12" s="7" t="inlineStr">
        <is>
          <t>Conductor</t>
        </is>
      </c>
      <c r="B12" s="8" t="inlineStr">
        <is>
          <t>Copper</t>
        </is>
      </c>
      <c r="E12" s="17">
        <f>IFERROR(INDEX($C$24:$C$39,MATCH("OK",$H$24:$H$39,0)),"")</f>
        <v/>
      </c>
      <c r="F12" s="18" t="n"/>
      <c r="G12" s="22">
        <f>IF($B$19&lt;=0,0,IF($B$19&gt;MAX('Tables'!$S$4:$S$13),"—",INDEX('Tables'!$S$4:$S$13,COUNTIF('Tables'!$S$4:$S$13,"&lt;"&amp;$B$19)+1)))</f>
        <v/>
      </c>
      <c r="H12" s="18" t="n"/>
    </row>
    <row r="13">
      <c r="A13" s="7" t="inlineStr">
        <is>
          <t>Insulation</t>
        </is>
      </c>
      <c r="B13" s="8" t="inlineStr">
        <is>
          <t>XLPE 90°C</t>
        </is>
      </c>
    </row>
    <row r="14">
      <c r="A14" s="7" t="inlineStr">
        <is>
          <t>Installation method</t>
        </is>
      </c>
      <c r="B14" s="8" t="inlineStr">
        <is>
          <t>On perforated tray (E)</t>
        </is>
      </c>
      <c r="E14" s="23" t="inlineStr">
        <is>
          <t>Total derating factor</t>
        </is>
      </c>
      <c r="F14" s="24" t="n"/>
      <c r="G14" s="24" t="n"/>
      <c r="H14" s="25">
        <f>H10</f>
        <v/>
      </c>
    </row>
    <row r="15">
      <c r="A15" s="7" t="inlineStr">
        <is>
          <t>Ambient temperature (°C)</t>
        </is>
      </c>
      <c r="B15" s="13" t="n">
        <v>45</v>
      </c>
      <c r="C15" s="14" t="inlineStr">
        <is>
          <t>°C</t>
        </is>
      </c>
      <c r="E15" s="23" t="inlineStr">
        <is>
          <t>Suggested breaker curve</t>
        </is>
      </c>
      <c r="F15" s="24" t="n"/>
      <c r="G15" s="24" t="n"/>
      <c r="H15" s="26">
        <f>IF($B$10="Motor","C or D with motor protection",IF($B$10="Heater / lighting","B or C","C"))</f>
        <v/>
      </c>
    </row>
    <row r="16">
      <c r="A16" s="7" t="inlineStr">
        <is>
          <t>Grouped circuits</t>
        </is>
      </c>
      <c r="B16" s="13" t="n">
        <v>3</v>
      </c>
      <c r="E16" s="23" t="inlineStr">
        <is>
          <t>Earth conductor PE (mm²)</t>
        </is>
      </c>
      <c r="F16" s="24" t="n"/>
      <c r="G16" s="24" t="n"/>
      <c r="H16" s="27">
        <f>IFERROR(IF($E$9&lt;=16,$E$9,IF($E$9&lt;=35,16,IF($E$9/2&lt;=0,0,IF($E$9/2&gt;MAX($A$24:$A$39),"—",INDEX($A$24:$A$39,COUNTIF($A$24:$A$39,"&lt;"&amp;$E$9/2)+1))))),"")</f>
        <v/>
      </c>
    </row>
    <row r="17">
      <c r="A17" s="7" t="inlineStr">
        <is>
          <t>Cable length (m)</t>
        </is>
      </c>
      <c r="B17" s="13" t="n">
        <v>120</v>
      </c>
      <c r="C17" s="14" t="inlineStr">
        <is>
          <t>m</t>
        </is>
      </c>
      <c r="E17" s="23" t="inlineStr">
        <is>
          <t>Check Ib ≤ In ≤ Iz</t>
        </is>
      </c>
      <c r="F17" s="24" t="n"/>
      <c r="G17" s="24" t="n"/>
      <c r="H17" s="26">
        <f>IFERROR(IF(AND($E$6&lt;=$G$6,$G$6&lt;=INDEX($C$24:$C$39,MATCH("OK",$H$24:$H$39,0))),"OK","✗"),"✗")</f>
        <v/>
      </c>
    </row>
    <row r="18">
      <c r="A18" s="7" t="inlineStr">
        <is>
          <t>Max voltage drop</t>
        </is>
      </c>
      <c r="B18" s="28" t="n">
        <v>0.04</v>
      </c>
      <c r="E18" s="23" t="inlineStr">
        <is>
          <t>Required base ampacity (A)</t>
        </is>
      </c>
      <c r="F18" s="24" t="n"/>
      <c r="G18" s="24" t="n"/>
      <c r="H18" s="27">
        <f>IFERROR($G$6/H10,"")</f>
        <v/>
      </c>
    </row>
    <row r="19">
      <c r="A19" s="7" t="inlineStr">
        <is>
          <t>Fault current at board (kA)</t>
        </is>
      </c>
      <c r="B19" s="19" t="n">
        <v>15</v>
      </c>
      <c r="C19" s="14" t="inlineStr">
        <is>
          <t>kA</t>
        </is>
      </c>
    </row>
    <row r="20"/>
    <row r="21"/>
    <row r="22" ht="22" customHeight="1">
      <c r="A22" s="5" t="inlineStr">
        <is>
          <t>Cable size comparison</t>
        </is>
      </c>
      <c r="B22" s="6" t="n"/>
      <c r="C22" s="6" t="n"/>
      <c r="D22" s="6" t="n"/>
      <c r="E22" s="6" t="n"/>
      <c r="F22" s="6" t="n"/>
      <c r="G22" s="6" t="n"/>
      <c r="H22" s="6" t="n"/>
    </row>
    <row r="23" ht="34" customHeight="1">
      <c r="A23" s="29" t="inlineStr">
        <is>
          <t>Size mm²</t>
        </is>
      </c>
      <c r="B23" s="29" t="inlineStr">
        <is>
          <t>Base ampacity A</t>
        </is>
      </c>
      <c r="C23" s="29" t="inlineStr">
        <is>
          <t>Derated Iz</t>
        </is>
      </c>
      <c r="D23" s="29" t="inlineStr">
        <is>
          <t>Drop V</t>
        </is>
      </c>
      <c r="E23" s="29" t="inlineStr">
        <is>
          <t>Drop %</t>
        </is>
      </c>
      <c r="F23" s="29" t="inlineStr">
        <is>
          <t>Ampacity</t>
        </is>
      </c>
      <c r="G23" s="29" t="inlineStr">
        <is>
          <t>Drop</t>
        </is>
      </c>
      <c r="H23" s="29" t="inlineStr">
        <is>
          <t>Status</t>
        </is>
      </c>
    </row>
    <row r="24">
      <c r="A24" s="30">
        <f>INDEX('Tables'!$A$4:$A$19,1)</f>
        <v/>
      </c>
      <c r="B24" s="31">
        <f>IF($B$12="Copper",IF($B$13="PVC 70°C",INDEX('Tables'!$B$4:$B$19,1),INDEX('Tables'!$C$4:$C$19,1)),IF($B$13="PVC 70°C",INDEX('Tables'!$D$4:$D$19,1),INDEX('Tables'!$E$4:$E$19,1)))</f>
        <v/>
      </c>
      <c r="C24" s="32">
        <f>B24*$H$10</f>
        <v/>
      </c>
      <c r="D24" s="33">
        <f>IF(B24&gt;0,IF($B$5="3-phase",SQRT(3),2)*$E$6*$B$17*(IF($B$12="Copper",'Tables'!$E$21,'Tables'!$E$22)/A24*$B$8+'Tables'!$E$23*SQRT(1-$B$8^2)),"")</f>
        <v/>
      </c>
      <c r="E24" s="34">
        <f>IF(B24&gt;0,D24/$B$6,"")</f>
        <v/>
      </c>
      <c r="F24" s="35">
        <f>IF(B24&lt;=0,"—",IF(C24&gt;=$G$6,"OK","✗"))</f>
        <v/>
      </c>
      <c r="G24" s="35">
        <f>IF(B24&lt;=0,"—",IF(E24&lt;=$B$18,"OK","✗"))</f>
        <v/>
      </c>
      <c r="H24" s="26">
        <f>IF(AND(F24="OK",G24="OK"),"OK",IF(B24&lt;=0,"n/a","Fail"))</f>
        <v/>
      </c>
    </row>
    <row r="25">
      <c r="A25" s="30">
        <f>INDEX('Tables'!$A$4:$A$19,2)</f>
        <v/>
      </c>
      <c r="B25" s="31">
        <f>IF($B$12="Copper",IF($B$13="PVC 70°C",INDEX('Tables'!$B$4:$B$19,2),INDEX('Tables'!$C$4:$C$19,2)),IF($B$13="PVC 70°C",INDEX('Tables'!$D$4:$D$19,2),INDEX('Tables'!$E$4:$E$19,2)))</f>
        <v/>
      </c>
      <c r="C25" s="32">
        <f>B25*$H$10</f>
        <v/>
      </c>
      <c r="D25" s="33">
        <f>IF(B25&gt;0,IF($B$5="3-phase",SQRT(3),2)*$E$6*$B$17*(IF($B$12="Copper",'Tables'!$E$21,'Tables'!$E$22)/A25*$B$8+'Tables'!$E$23*SQRT(1-$B$8^2)),"")</f>
        <v/>
      </c>
      <c r="E25" s="34">
        <f>IF(B25&gt;0,D25/$B$6,"")</f>
        <v/>
      </c>
      <c r="F25" s="35">
        <f>IF(B25&lt;=0,"—",IF(C25&gt;=$G$6,"OK","✗"))</f>
        <v/>
      </c>
      <c r="G25" s="35">
        <f>IF(B25&lt;=0,"—",IF(E25&lt;=$B$18,"OK","✗"))</f>
        <v/>
      </c>
      <c r="H25" s="26">
        <f>IF(AND(F25="OK",G25="OK"),"OK",IF(B25&lt;=0,"n/a","Fail"))</f>
        <v/>
      </c>
    </row>
    <row r="26">
      <c r="A26" s="30">
        <f>INDEX('Tables'!$A$4:$A$19,3)</f>
        <v/>
      </c>
      <c r="B26" s="31">
        <f>IF($B$12="Copper",IF($B$13="PVC 70°C",INDEX('Tables'!$B$4:$B$19,3),INDEX('Tables'!$C$4:$C$19,3)),IF($B$13="PVC 70°C",INDEX('Tables'!$D$4:$D$19,3),INDEX('Tables'!$E$4:$E$19,3)))</f>
        <v/>
      </c>
      <c r="C26" s="32">
        <f>B26*$H$10</f>
        <v/>
      </c>
      <c r="D26" s="33">
        <f>IF(B26&gt;0,IF($B$5="3-phase",SQRT(3),2)*$E$6*$B$17*(IF($B$12="Copper",'Tables'!$E$21,'Tables'!$E$22)/A26*$B$8+'Tables'!$E$23*SQRT(1-$B$8^2)),"")</f>
        <v/>
      </c>
      <c r="E26" s="34">
        <f>IF(B26&gt;0,D26/$B$6,"")</f>
        <v/>
      </c>
      <c r="F26" s="35">
        <f>IF(B26&lt;=0,"—",IF(C26&gt;=$G$6,"OK","✗"))</f>
        <v/>
      </c>
      <c r="G26" s="35">
        <f>IF(B26&lt;=0,"—",IF(E26&lt;=$B$18,"OK","✗"))</f>
        <v/>
      </c>
      <c r="H26" s="26">
        <f>IF(AND(F26="OK",G26="OK"),"OK",IF(B26&lt;=0,"n/a","Fail"))</f>
        <v/>
      </c>
    </row>
    <row r="27">
      <c r="A27" s="30">
        <f>INDEX('Tables'!$A$4:$A$19,4)</f>
        <v/>
      </c>
      <c r="B27" s="31">
        <f>IF($B$12="Copper",IF($B$13="PVC 70°C",INDEX('Tables'!$B$4:$B$19,4),INDEX('Tables'!$C$4:$C$19,4)),IF($B$13="PVC 70°C",INDEX('Tables'!$D$4:$D$19,4),INDEX('Tables'!$E$4:$E$19,4)))</f>
        <v/>
      </c>
      <c r="C27" s="32">
        <f>B27*$H$10</f>
        <v/>
      </c>
      <c r="D27" s="33">
        <f>IF(B27&gt;0,IF($B$5="3-phase",SQRT(3),2)*$E$6*$B$17*(IF($B$12="Copper",'Tables'!$E$21,'Tables'!$E$22)/A27*$B$8+'Tables'!$E$23*SQRT(1-$B$8^2)),"")</f>
        <v/>
      </c>
      <c r="E27" s="34">
        <f>IF(B27&gt;0,D27/$B$6,"")</f>
        <v/>
      </c>
      <c r="F27" s="35">
        <f>IF(B27&lt;=0,"—",IF(C27&gt;=$G$6,"OK","✗"))</f>
        <v/>
      </c>
      <c r="G27" s="35">
        <f>IF(B27&lt;=0,"—",IF(E27&lt;=$B$18,"OK","✗"))</f>
        <v/>
      </c>
      <c r="H27" s="26">
        <f>IF(AND(F27="OK",G27="OK"),"OK",IF(B27&lt;=0,"n/a","Fail"))</f>
        <v/>
      </c>
    </row>
    <row r="28">
      <c r="A28" s="30">
        <f>INDEX('Tables'!$A$4:$A$19,5)</f>
        <v/>
      </c>
      <c r="B28" s="31">
        <f>IF($B$12="Copper",IF($B$13="PVC 70°C",INDEX('Tables'!$B$4:$B$19,5),INDEX('Tables'!$C$4:$C$19,5)),IF($B$13="PVC 70°C",INDEX('Tables'!$D$4:$D$19,5),INDEX('Tables'!$E$4:$E$19,5)))</f>
        <v/>
      </c>
      <c r="C28" s="32">
        <f>B28*$H$10</f>
        <v/>
      </c>
      <c r="D28" s="33">
        <f>IF(B28&gt;0,IF($B$5="3-phase",SQRT(3),2)*$E$6*$B$17*(IF($B$12="Copper",'Tables'!$E$21,'Tables'!$E$22)/A28*$B$8+'Tables'!$E$23*SQRT(1-$B$8^2)),"")</f>
        <v/>
      </c>
      <c r="E28" s="34">
        <f>IF(B28&gt;0,D28/$B$6,"")</f>
        <v/>
      </c>
      <c r="F28" s="35">
        <f>IF(B28&lt;=0,"—",IF(C28&gt;=$G$6,"OK","✗"))</f>
        <v/>
      </c>
      <c r="G28" s="35">
        <f>IF(B28&lt;=0,"—",IF(E28&lt;=$B$18,"OK","✗"))</f>
        <v/>
      </c>
      <c r="H28" s="26">
        <f>IF(AND(F28="OK",G28="OK"),"OK",IF(B28&lt;=0,"n/a","Fail"))</f>
        <v/>
      </c>
    </row>
    <row r="29">
      <c r="A29" s="30">
        <f>INDEX('Tables'!$A$4:$A$19,6)</f>
        <v/>
      </c>
      <c r="B29" s="31">
        <f>IF($B$12="Copper",IF($B$13="PVC 70°C",INDEX('Tables'!$B$4:$B$19,6),INDEX('Tables'!$C$4:$C$19,6)),IF($B$13="PVC 70°C",INDEX('Tables'!$D$4:$D$19,6),INDEX('Tables'!$E$4:$E$19,6)))</f>
        <v/>
      </c>
      <c r="C29" s="32">
        <f>B29*$H$10</f>
        <v/>
      </c>
      <c r="D29" s="33">
        <f>IF(B29&gt;0,IF($B$5="3-phase",SQRT(3),2)*$E$6*$B$17*(IF($B$12="Copper",'Tables'!$E$21,'Tables'!$E$22)/A29*$B$8+'Tables'!$E$23*SQRT(1-$B$8^2)),"")</f>
        <v/>
      </c>
      <c r="E29" s="34">
        <f>IF(B29&gt;0,D29/$B$6,"")</f>
        <v/>
      </c>
      <c r="F29" s="35">
        <f>IF(B29&lt;=0,"—",IF(C29&gt;=$G$6,"OK","✗"))</f>
        <v/>
      </c>
      <c r="G29" s="35">
        <f>IF(B29&lt;=0,"—",IF(E29&lt;=$B$18,"OK","✗"))</f>
        <v/>
      </c>
      <c r="H29" s="26">
        <f>IF(AND(F29="OK",G29="OK"),"OK",IF(B29&lt;=0,"n/a","Fail"))</f>
        <v/>
      </c>
    </row>
    <row r="30">
      <c r="A30" s="30">
        <f>INDEX('Tables'!$A$4:$A$19,7)</f>
        <v/>
      </c>
      <c r="B30" s="31">
        <f>IF($B$12="Copper",IF($B$13="PVC 70°C",INDEX('Tables'!$B$4:$B$19,7),INDEX('Tables'!$C$4:$C$19,7)),IF($B$13="PVC 70°C",INDEX('Tables'!$D$4:$D$19,7),INDEX('Tables'!$E$4:$E$19,7)))</f>
        <v/>
      </c>
      <c r="C30" s="32">
        <f>B30*$H$10</f>
        <v/>
      </c>
      <c r="D30" s="33">
        <f>IF(B30&gt;0,IF($B$5="3-phase",SQRT(3),2)*$E$6*$B$17*(IF($B$12="Copper",'Tables'!$E$21,'Tables'!$E$22)/A30*$B$8+'Tables'!$E$23*SQRT(1-$B$8^2)),"")</f>
        <v/>
      </c>
      <c r="E30" s="34">
        <f>IF(B30&gt;0,D30/$B$6,"")</f>
        <v/>
      </c>
      <c r="F30" s="35">
        <f>IF(B30&lt;=0,"—",IF(C30&gt;=$G$6,"OK","✗"))</f>
        <v/>
      </c>
      <c r="G30" s="35">
        <f>IF(B30&lt;=0,"—",IF(E30&lt;=$B$18,"OK","✗"))</f>
        <v/>
      </c>
      <c r="H30" s="26">
        <f>IF(AND(F30="OK",G30="OK"),"OK",IF(B30&lt;=0,"n/a","Fail"))</f>
        <v/>
      </c>
    </row>
    <row r="31">
      <c r="A31" s="30">
        <f>INDEX('Tables'!$A$4:$A$19,8)</f>
        <v/>
      </c>
      <c r="B31" s="31">
        <f>IF($B$12="Copper",IF($B$13="PVC 70°C",INDEX('Tables'!$B$4:$B$19,8),INDEX('Tables'!$C$4:$C$19,8)),IF($B$13="PVC 70°C",INDEX('Tables'!$D$4:$D$19,8),INDEX('Tables'!$E$4:$E$19,8)))</f>
        <v/>
      </c>
      <c r="C31" s="32">
        <f>B31*$H$10</f>
        <v/>
      </c>
      <c r="D31" s="33">
        <f>IF(B31&gt;0,IF($B$5="3-phase",SQRT(3),2)*$E$6*$B$17*(IF($B$12="Copper",'Tables'!$E$21,'Tables'!$E$22)/A31*$B$8+'Tables'!$E$23*SQRT(1-$B$8^2)),"")</f>
        <v/>
      </c>
      <c r="E31" s="34">
        <f>IF(B31&gt;0,D31/$B$6,"")</f>
        <v/>
      </c>
      <c r="F31" s="35">
        <f>IF(B31&lt;=0,"—",IF(C31&gt;=$G$6,"OK","✗"))</f>
        <v/>
      </c>
      <c r="G31" s="35">
        <f>IF(B31&lt;=0,"—",IF(E31&lt;=$B$18,"OK","✗"))</f>
        <v/>
      </c>
      <c r="H31" s="26">
        <f>IF(AND(F31="OK",G31="OK"),"OK",IF(B31&lt;=0,"n/a","Fail"))</f>
        <v/>
      </c>
    </row>
    <row r="32">
      <c r="A32" s="30">
        <f>INDEX('Tables'!$A$4:$A$19,9)</f>
        <v/>
      </c>
      <c r="B32" s="31">
        <f>IF($B$12="Copper",IF($B$13="PVC 70°C",INDEX('Tables'!$B$4:$B$19,9),INDEX('Tables'!$C$4:$C$19,9)),IF($B$13="PVC 70°C",INDEX('Tables'!$D$4:$D$19,9),INDEX('Tables'!$E$4:$E$19,9)))</f>
        <v/>
      </c>
      <c r="C32" s="32">
        <f>B32*$H$10</f>
        <v/>
      </c>
      <c r="D32" s="33">
        <f>IF(B32&gt;0,IF($B$5="3-phase",SQRT(3),2)*$E$6*$B$17*(IF($B$12="Copper",'Tables'!$E$21,'Tables'!$E$22)/A32*$B$8+'Tables'!$E$23*SQRT(1-$B$8^2)),"")</f>
        <v/>
      </c>
      <c r="E32" s="34">
        <f>IF(B32&gt;0,D32/$B$6,"")</f>
        <v/>
      </c>
      <c r="F32" s="35">
        <f>IF(B32&lt;=0,"—",IF(C32&gt;=$G$6,"OK","✗"))</f>
        <v/>
      </c>
      <c r="G32" s="35">
        <f>IF(B32&lt;=0,"—",IF(E32&lt;=$B$18,"OK","✗"))</f>
        <v/>
      </c>
      <c r="H32" s="26">
        <f>IF(AND(F32="OK",G32="OK"),"OK",IF(B32&lt;=0,"n/a","Fail"))</f>
        <v/>
      </c>
    </row>
    <row r="33">
      <c r="A33" s="30">
        <f>INDEX('Tables'!$A$4:$A$19,10)</f>
        <v/>
      </c>
      <c r="B33" s="31">
        <f>IF($B$12="Copper",IF($B$13="PVC 70°C",INDEX('Tables'!$B$4:$B$19,10),INDEX('Tables'!$C$4:$C$19,10)),IF($B$13="PVC 70°C",INDEX('Tables'!$D$4:$D$19,10),INDEX('Tables'!$E$4:$E$19,10)))</f>
        <v/>
      </c>
      <c r="C33" s="32">
        <f>B33*$H$10</f>
        <v/>
      </c>
      <c r="D33" s="33">
        <f>IF(B33&gt;0,IF($B$5="3-phase",SQRT(3),2)*$E$6*$B$17*(IF($B$12="Copper",'Tables'!$E$21,'Tables'!$E$22)/A33*$B$8+'Tables'!$E$23*SQRT(1-$B$8^2)),"")</f>
        <v/>
      </c>
      <c r="E33" s="34">
        <f>IF(B33&gt;0,D33/$B$6,"")</f>
        <v/>
      </c>
      <c r="F33" s="35">
        <f>IF(B33&lt;=0,"—",IF(C33&gt;=$G$6,"OK","✗"))</f>
        <v/>
      </c>
      <c r="G33" s="35">
        <f>IF(B33&lt;=0,"—",IF(E33&lt;=$B$18,"OK","✗"))</f>
        <v/>
      </c>
      <c r="H33" s="26">
        <f>IF(AND(F33="OK",G33="OK"),"OK",IF(B33&lt;=0,"n/a","Fail"))</f>
        <v/>
      </c>
    </row>
    <row r="34">
      <c r="A34" s="30">
        <f>INDEX('Tables'!$A$4:$A$19,11)</f>
        <v/>
      </c>
      <c r="B34" s="31">
        <f>IF($B$12="Copper",IF($B$13="PVC 70°C",INDEX('Tables'!$B$4:$B$19,11),INDEX('Tables'!$C$4:$C$19,11)),IF($B$13="PVC 70°C",INDEX('Tables'!$D$4:$D$19,11),INDEX('Tables'!$E$4:$E$19,11)))</f>
        <v/>
      </c>
      <c r="C34" s="32">
        <f>B34*$H$10</f>
        <v/>
      </c>
      <c r="D34" s="33">
        <f>IF(B34&gt;0,IF($B$5="3-phase",SQRT(3),2)*$E$6*$B$17*(IF($B$12="Copper",'Tables'!$E$21,'Tables'!$E$22)/A34*$B$8+'Tables'!$E$23*SQRT(1-$B$8^2)),"")</f>
        <v/>
      </c>
      <c r="E34" s="34">
        <f>IF(B34&gt;0,D34/$B$6,"")</f>
        <v/>
      </c>
      <c r="F34" s="35">
        <f>IF(B34&lt;=0,"—",IF(C34&gt;=$G$6,"OK","✗"))</f>
        <v/>
      </c>
      <c r="G34" s="35">
        <f>IF(B34&lt;=0,"—",IF(E34&lt;=$B$18,"OK","✗"))</f>
        <v/>
      </c>
      <c r="H34" s="26">
        <f>IF(AND(F34="OK",G34="OK"),"OK",IF(B34&lt;=0,"n/a","Fail"))</f>
        <v/>
      </c>
    </row>
    <row r="35">
      <c r="A35" s="30">
        <f>INDEX('Tables'!$A$4:$A$19,12)</f>
        <v/>
      </c>
      <c r="B35" s="31">
        <f>IF($B$12="Copper",IF($B$13="PVC 70°C",INDEX('Tables'!$B$4:$B$19,12),INDEX('Tables'!$C$4:$C$19,12)),IF($B$13="PVC 70°C",INDEX('Tables'!$D$4:$D$19,12),INDEX('Tables'!$E$4:$E$19,12)))</f>
        <v/>
      </c>
      <c r="C35" s="32">
        <f>B35*$H$10</f>
        <v/>
      </c>
      <c r="D35" s="33">
        <f>IF(B35&gt;0,IF($B$5="3-phase",SQRT(3),2)*$E$6*$B$17*(IF($B$12="Copper",'Tables'!$E$21,'Tables'!$E$22)/A35*$B$8+'Tables'!$E$23*SQRT(1-$B$8^2)),"")</f>
        <v/>
      </c>
      <c r="E35" s="34">
        <f>IF(B35&gt;0,D35/$B$6,"")</f>
        <v/>
      </c>
      <c r="F35" s="35">
        <f>IF(B35&lt;=0,"—",IF(C35&gt;=$G$6,"OK","✗"))</f>
        <v/>
      </c>
      <c r="G35" s="35">
        <f>IF(B35&lt;=0,"—",IF(E35&lt;=$B$18,"OK","✗"))</f>
        <v/>
      </c>
      <c r="H35" s="26">
        <f>IF(AND(F35="OK",G35="OK"),"OK",IF(B35&lt;=0,"n/a","Fail"))</f>
        <v/>
      </c>
    </row>
    <row r="36">
      <c r="A36" s="30">
        <f>INDEX('Tables'!$A$4:$A$19,13)</f>
        <v/>
      </c>
      <c r="B36" s="31">
        <f>IF($B$12="Copper",IF($B$13="PVC 70°C",INDEX('Tables'!$B$4:$B$19,13),INDEX('Tables'!$C$4:$C$19,13)),IF($B$13="PVC 70°C",INDEX('Tables'!$D$4:$D$19,13),INDEX('Tables'!$E$4:$E$19,13)))</f>
        <v/>
      </c>
      <c r="C36" s="32">
        <f>B36*$H$10</f>
        <v/>
      </c>
      <c r="D36" s="33">
        <f>IF(B36&gt;0,IF($B$5="3-phase",SQRT(3),2)*$E$6*$B$17*(IF($B$12="Copper",'Tables'!$E$21,'Tables'!$E$22)/A36*$B$8+'Tables'!$E$23*SQRT(1-$B$8^2)),"")</f>
        <v/>
      </c>
      <c r="E36" s="34">
        <f>IF(B36&gt;0,D36/$B$6,"")</f>
        <v/>
      </c>
      <c r="F36" s="35">
        <f>IF(B36&lt;=0,"—",IF(C36&gt;=$G$6,"OK","✗"))</f>
        <v/>
      </c>
      <c r="G36" s="35">
        <f>IF(B36&lt;=0,"—",IF(E36&lt;=$B$18,"OK","✗"))</f>
        <v/>
      </c>
      <c r="H36" s="26">
        <f>IF(AND(F36="OK",G36="OK"),"OK",IF(B36&lt;=0,"n/a","Fail"))</f>
        <v/>
      </c>
    </row>
    <row r="37">
      <c r="A37" s="30">
        <f>INDEX('Tables'!$A$4:$A$19,14)</f>
        <v/>
      </c>
      <c r="B37" s="31">
        <f>IF($B$12="Copper",IF($B$13="PVC 70°C",INDEX('Tables'!$B$4:$B$19,14),INDEX('Tables'!$C$4:$C$19,14)),IF($B$13="PVC 70°C",INDEX('Tables'!$D$4:$D$19,14),INDEX('Tables'!$E$4:$E$19,14)))</f>
        <v/>
      </c>
      <c r="C37" s="32">
        <f>B37*$H$10</f>
        <v/>
      </c>
      <c r="D37" s="33">
        <f>IF(B37&gt;0,IF($B$5="3-phase",SQRT(3),2)*$E$6*$B$17*(IF($B$12="Copper",'Tables'!$E$21,'Tables'!$E$22)/A37*$B$8+'Tables'!$E$23*SQRT(1-$B$8^2)),"")</f>
        <v/>
      </c>
      <c r="E37" s="34">
        <f>IF(B37&gt;0,D37/$B$6,"")</f>
        <v/>
      </c>
      <c r="F37" s="35">
        <f>IF(B37&lt;=0,"—",IF(C37&gt;=$G$6,"OK","✗"))</f>
        <v/>
      </c>
      <c r="G37" s="35">
        <f>IF(B37&lt;=0,"—",IF(E37&lt;=$B$18,"OK","✗"))</f>
        <v/>
      </c>
      <c r="H37" s="26">
        <f>IF(AND(F37="OK",G37="OK"),"OK",IF(B37&lt;=0,"n/a","Fail"))</f>
        <v/>
      </c>
    </row>
    <row r="38">
      <c r="A38" s="30">
        <f>INDEX('Tables'!$A$4:$A$19,15)</f>
        <v/>
      </c>
      <c r="B38" s="31">
        <f>IF($B$12="Copper",IF($B$13="PVC 70°C",INDEX('Tables'!$B$4:$B$19,15),INDEX('Tables'!$C$4:$C$19,15)),IF($B$13="PVC 70°C",INDEX('Tables'!$D$4:$D$19,15),INDEX('Tables'!$E$4:$E$19,15)))</f>
        <v/>
      </c>
      <c r="C38" s="32">
        <f>B38*$H$10</f>
        <v/>
      </c>
      <c r="D38" s="33">
        <f>IF(B38&gt;0,IF($B$5="3-phase",SQRT(3),2)*$E$6*$B$17*(IF($B$12="Copper",'Tables'!$E$21,'Tables'!$E$22)/A38*$B$8+'Tables'!$E$23*SQRT(1-$B$8^2)),"")</f>
        <v/>
      </c>
      <c r="E38" s="34">
        <f>IF(B38&gt;0,D38/$B$6,"")</f>
        <v/>
      </c>
      <c r="F38" s="35">
        <f>IF(B38&lt;=0,"—",IF(C38&gt;=$G$6,"OK","✗"))</f>
        <v/>
      </c>
      <c r="G38" s="35">
        <f>IF(B38&lt;=0,"—",IF(E38&lt;=$B$18,"OK","✗"))</f>
        <v/>
      </c>
      <c r="H38" s="26">
        <f>IF(AND(F38="OK",G38="OK"),"OK",IF(B38&lt;=0,"n/a","Fail"))</f>
        <v/>
      </c>
    </row>
    <row r="39">
      <c r="A39" s="30">
        <f>INDEX('Tables'!$A$4:$A$19,16)</f>
        <v/>
      </c>
      <c r="B39" s="31">
        <f>IF($B$12="Copper",IF($B$13="PVC 70°C",INDEX('Tables'!$B$4:$B$19,16),INDEX('Tables'!$C$4:$C$19,16)),IF($B$13="PVC 70°C",INDEX('Tables'!$D$4:$D$19,16),INDEX('Tables'!$E$4:$E$19,16)))</f>
        <v/>
      </c>
      <c r="C39" s="32">
        <f>B39*$H$10</f>
        <v/>
      </c>
      <c r="D39" s="33">
        <f>IF(B39&gt;0,IF($B$5="3-phase",SQRT(3),2)*$E$6*$B$17*(IF($B$12="Copper",'Tables'!$E$21,'Tables'!$E$22)/A39*$B$8+'Tables'!$E$23*SQRT(1-$B$8^2)),"")</f>
        <v/>
      </c>
      <c r="E39" s="34">
        <f>IF(B39&gt;0,D39/$B$6,"")</f>
        <v/>
      </c>
      <c r="F39" s="35">
        <f>IF(B39&lt;=0,"—",IF(C39&gt;=$G$6,"OK","✗"))</f>
        <v/>
      </c>
      <c r="G39" s="35">
        <f>IF(B39&lt;=0,"—",IF(E39&lt;=$B$18,"OK","✗"))</f>
        <v/>
      </c>
      <c r="H39" s="26">
        <f>IF(AND(F39="OK",G39="OK"),"OK",IF(B39&lt;=0,"n/a","Fail"))</f>
        <v/>
      </c>
    </row>
  </sheetData>
  <sheetProtection selectLockedCells="0" selectUnlockedCells="0" sheet="1" objects="0" insertRows="1" insertHyperlinks="1" autoFilter="0" scenarios="0" formatColumns="0" deleteColumns="1" insertColumns="1" pivotTables="1" deleteRows="1" formatCells="0" formatRows="0" sort="0"/>
  <mergeCells count="22">
    <mergeCell ref="E12:F12"/>
    <mergeCell ref="G12:H12"/>
    <mergeCell ref="G11:H11"/>
    <mergeCell ref="E5:F5"/>
    <mergeCell ref="A1:H1"/>
    <mergeCell ref="G8:H8"/>
    <mergeCell ref="E15:G15"/>
    <mergeCell ref="E8:F8"/>
    <mergeCell ref="G6:H6"/>
    <mergeCell ref="A4:C4"/>
    <mergeCell ref="E9:F9"/>
    <mergeCell ref="E16:G16"/>
    <mergeCell ref="E6:F6"/>
    <mergeCell ref="A2:H2"/>
    <mergeCell ref="E11:F11"/>
    <mergeCell ref="G5:H5"/>
    <mergeCell ref="E18:G18"/>
    <mergeCell ref="A22:H22"/>
    <mergeCell ref="A11:C11"/>
    <mergeCell ref="E14:G14"/>
    <mergeCell ref="E17:G17"/>
    <mergeCell ref="G9:H9"/>
  </mergeCells>
  <conditionalFormatting sqref="A24:H39">
    <cfRule type="expression" priority="1" dxfId="0">
      <formula>AND($H24="OK",COUNTIF($H$24:$H24,"OK")=1,COUNTIF($H$24:$H39,"OK")&gt;0,MATCH("OK",$H$24:$H$39,0)=ROW()-23)</formula>
    </cfRule>
  </conditionalFormatting>
  <conditionalFormatting sqref="F24:H39">
    <cfRule type="expression" priority="2" dxfId="1">
      <formula>F24="✗"</formula>
    </cfRule>
    <cfRule type="expression" priority="3" dxfId="1">
      <formula>F24="Fail"</formula>
    </cfRule>
    <cfRule type="expression" priority="4" dxfId="1">
      <formula>F24="مرفوض"</formula>
    </cfRule>
  </conditionalFormatting>
  <dataValidations count="14">
    <dataValidation sqref="B5" showDropDown="0" showInputMessage="0" showErrorMessage="1" allowBlank="1" errorTitle="Sheetaky" error="Pick a value from the list" type="list">
      <formula1>"3-phase,1-phase"</formula1>
    </dataValidation>
    <dataValidation sqref="B6" showDropDown="0" showInputMessage="0" showErrorMessage="1" allowBlank="1" errorTitle="Sheetaky" error="Enter a number between 100 and 1000" type="whole" operator="between">
      <formula1>100</formula1>
      <formula2>1000</formula2>
    </dataValidation>
    <dataValidation sqref="B7" showDropDown="0" showInputMessage="0" showErrorMessage="1" allowBlank="1" errorTitle="Sheetaky" error="Enter a number between 0.1 and 5000" type="decimal" operator="between">
      <formula1>0.1</formula1>
      <formula2>5000</formula2>
    </dataValidation>
    <dataValidation sqref="B8" showDropDown="0" showInputMessage="0" showErrorMessage="1" allowBlank="1" errorTitle="Sheetaky" error="Enter a number between 0.3 and 1" type="decimal" operator="between">
      <formula1>0.3</formula1>
      <formula2>1</formula2>
    </dataValidation>
    <dataValidation sqref="B9" showDropDown="0" showInputMessage="0" showErrorMessage="1" allowBlank="1" errorTitle="Sheetaky" error="Enter a number between 0.3 and 1" type="decimal" operator="between">
      <formula1>0.3</formula1>
      <formula2>1</formula2>
    </dataValidation>
    <dataValidation sqref="B10" showDropDown="0" showInputMessage="0" showErrorMessage="1" allowBlank="1" errorTitle="Sheetaky" error="Pick a value from the list" type="list">
      <formula1>"Motor,Heater / lighting,Mixed"</formula1>
    </dataValidation>
    <dataValidation sqref="B12" showDropDown="0" showInputMessage="0" showErrorMessage="1" allowBlank="1" errorTitle="Sheetaky" error="Pick a value from the list" type="list">
      <formula1>"Copper,Aluminium"</formula1>
    </dataValidation>
    <dataValidation sqref="B13" showDropDown="0" showInputMessage="0" showErrorMessage="1" allowBlank="1" errorTitle="Sheetaky" error="Pick a value from the list" type="list">
      <formula1>"PVC 70°C,XLPE 90°C"</formula1>
    </dataValidation>
    <dataValidation sqref="B14" showDropDown="0" showInputMessage="0" showErrorMessage="1" allowBlank="1" errorTitle="Sheetaky" error="Pick a value from the list" type="list">
      <formula1>='Tables'!$N$4:$N$7</formula1>
    </dataValidation>
    <dataValidation sqref="B15" showDropDown="0" showInputMessage="0" showErrorMessage="1" allowBlank="1" errorTitle="Sheetaky" error="Enter a number between 10 and 80" type="whole" operator="between">
      <formula1>10</formula1>
      <formula2>80</formula2>
    </dataValidation>
    <dataValidation sqref="B16" showDropDown="0" showInputMessage="0" showErrorMessage="1" allowBlank="1" errorTitle="Sheetaky" error="Enter a number between 1 and 40" type="whole" operator="between">
      <formula1>1</formula1>
      <formula2>40</formula2>
    </dataValidation>
    <dataValidation sqref="B17" showDropDown="0" showInputMessage="0" showErrorMessage="1" allowBlank="1" errorTitle="Sheetaky" error="Enter a number between 1 and 5000" type="decimal" operator="between">
      <formula1>1</formula1>
      <formula2>5000</formula2>
    </dataValidation>
    <dataValidation sqref="B18" showDropDown="0" showInputMessage="0" showErrorMessage="1" allowBlank="1" errorTitle="Sheetaky" error="Enter a number between 0.01 and 0.1" type="decimal" operator="between">
      <formula1>0.01</formula1>
      <formula2>0.1</formula2>
    </dataValidation>
    <dataValidation sqref="B19" showDropDown="0" showInputMessage="0" showErrorMessage="1" allowBlank="1" errorTitle="Sheetaky" error="Enter a number between 1 and 150" type="decimal" operator="between">
      <formula1>1</formula1>
      <formula2>150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FACC15"/>
    <outlinePr summaryBelow="1" summaryRight="1"/>
    <pageSetUpPr fitToPage="1"/>
  </sheetPr>
  <dimension ref="A1:S26"/>
  <sheetViews>
    <sheetView showGridLines="0" rightToLeft="0" zoomScale="100" workbookViewId="0">
      <selection activeCell="A1" sqref="A1"/>
    </sheetView>
  </sheetViews>
  <sheetFormatPr baseColWidth="8" defaultRowHeight="15"/>
  <cols>
    <col width="14" customWidth="1" min="1" max="1"/>
    <col width="11" customWidth="1" min="2" max="2"/>
    <col width="11" customWidth="1" min="3" max="3"/>
    <col width="11" customWidth="1" min="4" max="4"/>
    <col width="11" customWidth="1" min="5" max="5"/>
    <col width="3" customWidth="1" min="6" max="6"/>
    <col width="10" customWidth="1" min="7" max="7"/>
    <col width="10" customWidth="1" min="8" max="8"/>
    <col width="10" customWidth="1" min="9" max="9"/>
    <col width="3" customWidth="1" min="10" max="10"/>
    <col width="10" customWidth="1" min="11" max="11"/>
    <col width="10" customWidth="1" min="12" max="12"/>
    <col width="3" customWidth="1" min="13" max="13"/>
    <col width="34" customWidth="1" min="14" max="14"/>
    <col width="10" customWidth="1" min="15" max="15"/>
    <col width="3" customWidth="1" min="16" max="16"/>
    <col width="10" customWidth="1" min="17" max="17"/>
    <col width="3" customWidth="1" min="18" max="18"/>
    <col width="10" customWidth="1" min="19" max="19"/>
  </cols>
  <sheetData>
    <row r="1" ht="36" customHeight="1">
      <c r="A1" s="1" t="inlineStr">
        <is>
          <t>Reference tables (editable)</t>
        </is>
      </c>
      <c r="B1" s="2" t="n"/>
      <c r="C1" s="2" t="n"/>
      <c r="D1" s="2" t="n"/>
      <c r="E1" s="2" t="n"/>
      <c r="F1" s="2" t="n"/>
      <c r="G1" s="2" t="n"/>
      <c r="H1" s="2" t="n"/>
      <c r="I1" s="2" t="n"/>
      <c r="J1" s="2" t="n"/>
      <c r="K1" s="2" t="n"/>
      <c r="L1" s="2" t="n"/>
      <c r="M1" s="2" t="n"/>
      <c r="N1" s="2" t="n"/>
      <c r="O1" s="2" t="n"/>
      <c r="P1" s="2" t="n"/>
      <c r="Q1" s="2" t="n"/>
      <c r="R1" s="2" t="n"/>
      <c r="S1" s="2" t="n"/>
    </row>
    <row r="2" ht="18" customHeight="1">
      <c r="A2" s="3" t="inlineStr">
        <is>
          <t>Approximate reference values in the style of IEC 60364-5-52 method C; match them to your local code and manufacturer data</t>
        </is>
      </c>
      <c r="B2" s="4" t="n"/>
      <c r="C2" s="4" t="n"/>
      <c r="D2" s="4" t="n"/>
      <c r="E2" s="4" t="n"/>
      <c r="F2" s="4" t="n"/>
      <c r="G2" s="4" t="n"/>
      <c r="H2" s="4" t="n"/>
      <c r="I2" s="4" t="n"/>
      <c r="J2" s="4" t="n"/>
      <c r="K2" s="4" t="n"/>
      <c r="L2" s="4" t="n"/>
      <c r="M2" s="4" t="n"/>
      <c r="N2" s="4" t="n"/>
      <c r="O2" s="4" t="n"/>
      <c r="P2" s="4" t="n"/>
      <c r="Q2" s="4" t="n"/>
      <c r="R2" s="4" t="n"/>
      <c r="S2" s="4" t="n"/>
    </row>
    <row r="3">
      <c r="A3" s="36" t="inlineStr">
        <is>
          <t>Size mm²</t>
        </is>
      </c>
      <c r="B3" s="29" t="inlineStr">
        <is>
          <t>Cu PVC</t>
        </is>
      </c>
      <c r="C3" s="29" t="inlineStr">
        <is>
          <t>Cu XLPE</t>
        </is>
      </c>
      <c r="D3" s="29" t="inlineStr">
        <is>
          <t>Al PVC</t>
        </is>
      </c>
      <c r="E3" s="29" t="inlineStr">
        <is>
          <t>Al XLPE</t>
        </is>
      </c>
      <c r="G3" s="29" t="inlineStr">
        <is>
          <t>Temp °C</t>
        </is>
      </c>
      <c r="H3" s="29" t="inlineStr">
        <is>
          <t>PVC</t>
        </is>
      </c>
      <c r="I3" s="29" t="inlineStr">
        <is>
          <t>XLPE</t>
        </is>
      </c>
      <c r="K3" s="29" t="inlineStr">
        <is>
          <t>Circuits</t>
        </is>
      </c>
      <c r="L3" s="29" t="inlineStr">
        <is>
          <t>Factor</t>
        </is>
      </c>
      <c r="N3" s="29" t="inlineStr">
        <is>
          <t>Installation method</t>
        </is>
      </c>
      <c r="O3" s="29" t="inlineStr">
        <is>
          <t>Factor</t>
        </is>
      </c>
      <c r="Q3" s="29" t="inlineStr">
        <is>
          <t>Breakers A</t>
        </is>
      </c>
      <c r="S3" s="29" t="inlineStr">
        <is>
          <t>Breaking kA</t>
        </is>
      </c>
    </row>
    <row r="4">
      <c r="A4" s="37" t="n">
        <v>1.5</v>
      </c>
      <c r="B4" s="19" t="n">
        <v>17.5</v>
      </c>
      <c r="C4" s="13" t="n">
        <v>23</v>
      </c>
      <c r="D4" s="13" t="n">
        <v>0</v>
      </c>
      <c r="E4" s="13" t="n">
        <v>0</v>
      </c>
      <c r="G4" s="13" t="n">
        <v>10</v>
      </c>
      <c r="H4" s="20" t="n">
        <v>1.22</v>
      </c>
      <c r="I4" s="20" t="n">
        <v>1.15</v>
      </c>
      <c r="K4" s="13" t="n">
        <v>1</v>
      </c>
      <c r="L4" s="20" t="n">
        <v>1</v>
      </c>
      <c r="N4" s="8" t="inlineStr">
        <is>
          <t>Clipped direct on wall (C)</t>
        </is>
      </c>
      <c r="O4" s="20" t="n">
        <v>1</v>
      </c>
      <c r="Q4" s="13" t="n">
        <v>6</v>
      </c>
      <c r="S4" s="19" t="n">
        <v>3</v>
      </c>
    </row>
    <row r="5">
      <c r="A5" s="37" t="n">
        <v>2.5</v>
      </c>
      <c r="B5" s="19" t="n">
        <v>24</v>
      </c>
      <c r="C5" s="13" t="n">
        <v>31</v>
      </c>
      <c r="D5" s="13" t="n">
        <v>0</v>
      </c>
      <c r="E5" s="13" t="n">
        <v>0</v>
      </c>
      <c r="G5" s="13" t="n">
        <v>15</v>
      </c>
      <c r="H5" s="20" t="n">
        <v>1.17</v>
      </c>
      <c r="I5" s="20" t="n">
        <v>1.12</v>
      </c>
      <c r="K5" s="13" t="n">
        <v>2</v>
      </c>
      <c r="L5" s="20" t="n">
        <v>0.8</v>
      </c>
      <c r="N5" s="8" t="inlineStr">
        <is>
          <t>On perforated tray (E)</t>
        </is>
      </c>
      <c r="O5" s="20" t="n">
        <v>1.1</v>
      </c>
      <c r="Q5" s="13" t="n">
        <v>10</v>
      </c>
      <c r="S5" s="19" t="n">
        <v>4.5</v>
      </c>
    </row>
    <row r="6">
      <c r="A6" s="37" t="n">
        <v>4</v>
      </c>
      <c r="B6" s="19" t="n">
        <v>32</v>
      </c>
      <c r="C6" s="13" t="n">
        <v>42</v>
      </c>
      <c r="D6" s="13" t="n">
        <v>0</v>
      </c>
      <c r="E6" s="13" t="n">
        <v>0</v>
      </c>
      <c r="G6" s="13" t="n">
        <v>20</v>
      </c>
      <c r="H6" s="20" t="n">
        <v>1.12</v>
      </c>
      <c r="I6" s="20" t="n">
        <v>1.08</v>
      </c>
      <c r="K6" s="13" t="n">
        <v>3</v>
      </c>
      <c r="L6" s="20" t="n">
        <v>0.7</v>
      </c>
      <c r="N6" s="8" t="inlineStr">
        <is>
          <t>In conduit on wall (B1)</t>
        </is>
      </c>
      <c r="O6" s="20" t="n">
        <v>0.88</v>
      </c>
      <c r="Q6" s="13" t="n">
        <v>16</v>
      </c>
      <c r="S6" s="19" t="n">
        <v>6</v>
      </c>
    </row>
    <row r="7">
      <c r="A7" s="37" t="n">
        <v>6</v>
      </c>
      <c r="B7" s="19" t="n">
        <v>41</v>
      </c>
      <c r="C7" s="13" t="n">
        <v>54</v>
      </c>
      <c r="D7" s="13" t="n">
        <v>0</v>
      </c>
      <c r="E7" s="13" t="n">
        <v>0</v>
      </c>
      <c r="G7" s="13" t="n">
        <v>25</v>
      </c>
      <c r="H7" s="20" t="n">
        <v>1.06</v>
      </c>
      <c r="I7" s="20" t="n">
        <v>1.04</v>
      </c>
      <c r="K7" s="13" t="n">
        <v>4</v>
      </c>
      <c r="L7" s="20" t="n">
        <v>0.65</v>
      </c>
      <c r="N7" s="8" t="inlineStr">
        <is>
          <t>Buried direct (D)</t>
        </is>
      </c>
      <c r="O7" s="20" t="n">
        <v>0.92</v>
      </c>
      <c r="Q7" s="13" t="n">
        <v>20</v>
      </c>
      <c r="S7" s="19" t="n">
        <v>10</v>
      </c>
    </row>
    <row r="8">
      <c r="A8" s="37" t="n">
        <v>10</v>
      </c>
      <c r="B8" s="19" t="n">
        <v>57</v>
      </c>
      <c r="C8" s="13" t="n">
        <v>75</v>
      </c>
      <c r="D8" s="13" t="n">
        <v>0</v>
      </c>
      <c r="E8" s="13" t="n">
        <v>0</v>
      </c>
      <c r="G8" s="13" t="n">
        <v>30</v>
      </c>
      <c r="H8" s="20" t="n">
        <v>1</v>
      </c>
      <c r="I8" s="20" t="n">
        <v>1</v>
      </c>
      <c r="K8" s="13" t="n">
        <v>5</v>
      </c>
      <c r="L8" s="20" t="n">
        <v>0.6</v>
      </c>
      <c r="Q8" s="13" t="n">
        <v>25</v>
      </c>
      <c r="S8" s="19" t="n">
        <v>15</v>
      </c>
    </row>
    <row r="9">
      <c r="A9" s="37" t="n">
        <v>16</v>
      </c>
      <c r="B9" s="19" t="n">
        <v>76</v>
      </c>
      <c r="C9" s="13" t="n">
        <v>100</v>
      </c>
      <c r="D9" s="13" t="n">
        <v>59</v>
      </c>
      <c r="E9" s="13" t="n">
        <v>77</v>
      </c>
      <c r="G9" s="13" t="n">
        <v>35</v>
      </c>
      <c r="H9" s="20" t="n">
        <v>0.9399999999999999</v>
      </c>
      <c r="I9" s="20" t="n">
        <v>0.96</v>
      </c>
      <c r="K9" s="13" t="n">
        <v>6</v>
      </c>
      <c r="L9" s="20" t="n">
        <v>0.57</v>
      </c>
      <c r="Q9" s="13" t="n">
        <v>32</v>
      </c>
      <c r="S9" s="19" t="n">
        <v>25</v>
      </c>
    </row>
    <row r="10">
      <c r="A10" s="37" t="n">
        <v>25</v>
      </c>
      <c r="B10" s="19" t="n">
        <v>96</v>
      </c>
      <c r="C10" s="13" t="n">
        <v>127</v>
      </c>
      <c r="D10" s="13" t="n">
        <v>73</v>
      </c>
      <c r="E10" s="13" t="n">
        <v>98</v>
      </c>
      <c r="G10" s="13" t="n">
        <v>40</v>
      </c>
      <c r="H10" s="20" t="n">
        <v>0.87</v>
      </c>
      <c r="I10" s="20" t="n">
        <v>0.91</v>
      </c>
      <c r="K10" s="13" t="n">
        <v>7</v>
      </c>
      <c r="L10" s="20" t="n">
        <v>0.54</v>
      </c>
      <c r="Q10" s="13" t="n">
        <v>40</v>
      </c>
      <c r="S10" s="19" t="n">
        <v>36</v>
      </c>
    </row>
    <row r="11">
      <c r="A11" s="37" t="n">
        <v>35</v>
      </c>
      <c r="B11" s="19" t="n">
        <v>119</v>
      </c>
      <c r="C11" s="13" t="n">
        <v>158</v>
      </c>
      <c r="D11" s="13" t="n">
        <v>90</v>
      </c>
      <c r="E11" s="13" t="n">
        <v>122</v>
      </c>
      <c r="G11" s="13" t="n">
        <v>45</v>
      </c>
      <c r="H11" s="20" t="n">
        <v>0.79</v>
      </c>
      <c r="I11" s="20" t="n">
        <v>0.87</v>
      </c>
      <c r="K11" s="13" t="n">
        <v>8</v>
      </c>
      <c r="L11" s="20" t="n">
        <v>0.52</v>
      </c>
      <c r="Q11" s="13" t="n">
        <v>50</v>
      </c>
      <c r="S11" s="19" t="n">
        <v>50</v>
      </c>
    </row>
    <row r="12">
      <c r="A12" s="37" t="n">
        <v>50</v>
      </c>
      <c r="B12" s="19" t="n">
        <v>144</v>
      </c>
      <c r="C12" s="13" t="n">
        <v>192</v>
      </c>
      <c r="D12" s="13" t="n">
        <v>110</v>
      </c>
      <c r="E12" s="13" t="n">
        <v>149</v>
      </c>
      <c r="G12" s="13" t="n">
        <v>50</v>
      </c>
      <c r="H12" s="20" t="n">
        <v>0.71</v>
      </c>
      <c r="I12" s="20" t="n">
        <v>0.82</v>
      </c>
      <c r="K12" s="13" t="n">
        <v>9</v>
      </c>
      <c r="L12" s="20" t="n">
        <v>0.5</v>
      </c>
      <c r="Q12" s="13" t="n">
        <v>63</v>
      </c>
      <c r="S12" s="19" t="n">
        <v>70</v>
      </c>
    </row>
    <row r="13">
      <c r="A13" s="37" t="n">
        <v>70</v>
      </c>
      <c r="B13" s="19" t="n">
        <v>184</v>
      </c>
      <c r="C13" s="13" t="n">
        <v>246</v>
      </c>
      <c r="D13" s="13" t="n">
        <v>140</v>
      </c>
      <c r="E13" s="13" t="n">
        <v>192</v>
      </c>
      <c r="G13" s="13" t="n">
        <v>55</v>
      </c>
      <c r="H13" s="20" t="n">
        <v>0.61</v>
      </c>
      <c r="I13" s="20" t="n">
        <v>0.76</v>
      </c>
      <c r="K13" s="13" t="n">
        <v>12</v>
      </c>
      <c r="L13" s="20" t="n">
        <v>0.45</v>
      </c>
      <c r="Q13" s="13" t="n">
        <v>80</v>
      </c>
      <c r="S13" s="19" t="n">
        <v>100</v>
      </c>
    </row>
    <row r="14">
      <c r="A14" s="37" t="n">
        <v>95</v>
      </c>
      <c r="B14" s="19" t="n">
        <v>223</v>
      </c>
      <c r="C14" s="13" t="n">
        <v>298</v>
      </c>
      <c r="D14" s="13" t="n">
        <v>170</v>
      </c>
      <c r="E14" s="13" t="n">
        <v>235</v>
      </c>
      <c r="G14" s="13" t="n">
        <v>60</v>
      </c>
      <c r="H14" s="20" t="n">
        <v>0.5</v>
      </c>
      <c r="I14" s="20" t="n">
        <v>0.71</v>
      </c>
      <c r="K14" s="13" t="n">
        <v>16</v>
      </c>
      <c r="L14" s="20" t="n">
        <v>0.41</v>
      </c>
      <c r="Q14" s="13" t="n">
        <v>100</v>
      </c>
    </row>
    <row r="15">
      <c r="A15" s="37" t="n">
        <v>120</v>
      </c>
      <c r="B15" s="19" t="n">
        <v>259</v>
      </c>
      <c r="C15" s="13" t="n">
        <v>346</v>
      </c>
      <c r="D15" s="13" t="n">
        <v>197</v>
      </c>
      <c r="E15" s="13" t="n">
        <v>273</v>
      </c>
      <c r="G15" s="13" t="n">
        <v>65</v>
      </c>
      <c r="H15" s="20" t="n">
        <v>0</v>
      </c>
      <c r="I15" s="20" t="n">
        <v>0.65</v>
      </c>
      <c r="K15" s="13" t="n">
        <v>20</v>
      </c>
      <c r="L15" s="20" t="n">
        <v>0.38</v>
      </c>
      <c r="Q15" s="13" t="n">
        <v>125</v>
      </c>
    </row>
    <row r="16">
      <c r="A16" s="37" t="n">
        <v>150</v>
      </c>
      <c r="B16" s="19" t="n">
        <v>299</v>
      </c>
      <c r="C16" s="13" t="n">
        <v>395</v>
      </c>
      <c r="D16" s="13" t="n">
        <v>227</v>
      </c>
      <c r="E16" s="13" t="n">
        <v>316</v>
      </c>
      <c r="G16" s="13" t="n">
        <v>70</v>
      </c>
      <c r="H16" s="20" t="n">
        <v>0</v>
      </c>
      <c r="I16" s="20" t="n">
        <v>0.58</v>
      </c>
      <c r="Q16" s="13" t="n">
        <v>160</v>
      </c>
    </row>
    <row r="17">
      <c r="A17" s="37" t="n">
        <v>185</v>
      </c>
      <c r="B17" s="19" t="n">
        <v>341</v>
      </c>
      <c r="C17" s="13" t="n">
        <v>450</v>
      </c>
      <c r="D17" s="13" t="n">
        <v>259</v>
      </c>
      <c r="E17" s="13" t="n">
        <v>363</v>
      </c>
      <c r="G17" s="13" t="n">
        <v>75</v>
      </c>
      <c r="H17" s="20" t="n">
        <v>0</v>
      </c>
      <c r="I17" s="20" t="n">
        <v>0.5</v>
      </c>
      <c r="Q17" s="13" t="n">
        <v>200</v>
      </c>
    </row>
    <row r="18">
      <c r="A18" s="37" t="n">
        <v>240</v>
      </c>
      <c r="B18" s="19" t="n">
        <v>403</v>
      </c>
      <c r="C18" s="13" t="n">
        <v>538</v>
      </c>
      <c r="D18" s="13" t="n">
        <v>305</v>
      </c>
      <c r="E18" s="13" t="n">
        <v>430</v>
      </c>
      <c r="G18" s="13" t="n">
        <v>80</v>
      </c>
      <c r="H18" s="20" t="n">
        <v>0</v>
      </c>
      <c r="I18" s="20" t="n">
        <v>0.41</v>
      </c>
      <c r="Q18" s="13" t="n">
        <v>250</v>
      </c>
    </row>
    <row r="19">
      <c r="A19" s="37" t="n">
        <v>300</v>
      </c>
      <c r="B19" s="19" t="n">
        <v>464</v>
      </c>
      <c r="C19" s="13" t="n">
        <v>621</v>
      </c>
      <c r="D19" s="13" t="n">
        <v>351</v>
      </c>
      <c r="E19" s="13" t="n">
        <v>497</v>
      </c>
      <c r="Q19" s="13" t="n">
        <v>315</v>
      </c>
    </row>
    <row r="20">
      <c r="Q20" s="13" t="n">
        <v>400</v>
      </c>
    </row>
    <row r="21">
      <c r="A21" s="7" t="inlineStr">
        <is>
          <t>ρ copper (Ω·mm²/m at 70°C)</t>
        </is>
      </c>
      <c r="B21" s="38" t="n"/>
      <c r="C21" s="38" t="n"/>
      <c r="D21" s="39" t="n"/>
      <c r="E21" s="40" t="n">
        <v>0.0225</v>
      </c>
      <c r="Q21" s="13" t="n">
        <v>500</v>
      </c>
    </row>
    <row r="22">
      <c r="A22" s="7" t="inlineStr">
        <is>
          <t>ρ aluminium</t>
        </is>
      </c>
      <c r="B22" s="38" t="n"/>
      <c r="C22" s="38" t="n"/>
      <c r="D22" s="39" t="n"/>
      <c r="E22" s="40" t="n">
        <v>0.036</v>
      </c>
      <c r="Q22" s="13" t="n">
        <v>630</v>
      </c>
    </row>
    <row r="23">
      <c r="A23" s="7" t="inlineStr">
        <is>
          <t>Cable reactance (Ω/m)</t>
        </is>
      </c>
      <c r="B23" s="38" t="n"/>
      <c r="C23" s="38" t="n"/>
      <c r="D23" s="39" t="n"/>
      <c r="E23" s="41" t="n">
        <v>8.000000000000001e-05</v>
      </c>
      <c r="Q23" s="13" t="n">
        <v>800</v>
      </c>
    </row>
    <row r="24">
      <c r="Q24" s="13" t="n">
        <v>1000</v>
      </c>
    </row>
    <row r="25">
      <c r="Q25" s="13" t="n">
        <v>1250</v>
      </c>
    </row>
    <row r="26">
      <c r="Q26" s="13" t="n">
        <v>1600</v>
      </c>
    </row>
  </sheetData>
  <sheetProtection selectLockedCells="0" selectUnlockedCells="0" sheet="1" objects="0" insertRows="1" insertHyperlinks="1" autoFilter="0" scenarios="0" formatColumns="0" deleteColumns="1" insertColumns="1" pivotTables="1" deleteRows="1" formatCells="0" formatRows="0" sort="0"/>
  <mergeCells count="5">
    <mergeCell ref="A23:D23"/>
    <mergeCell ref="A22:D22"/>
    <mergeCell ref="A21:D21"/>
    <mergeCell ref="A1:S1"/>
    <mergeCell ref="A2:S2"/>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3.xml><?xml version="1.0" encoding="utf-8"?>
<worksheet xmlns="http://schemas.openxmlformats.org/spreadsheetml/2006/main">
  <sheetPr>
    <tabColor rgb="00FACC15"/>
    <outlinePr summaryBelow="1" summaryRight="1"/>
    <pageSetUpPr fitToPage="1"/>
  </sheetPr>
  <dimension ref="A1:B23"/>
  <sheetViews>
    <sheetView showGridLines="0" rightToLeft="0" zoomScale="100" workbookViewId="0">
      <selection activeCell="A1" sqref="A1"/>
    </sheetView>
  </sheetViews>
  <sheetFormatPr baseColWidth="8" defaultRowHeight="15"/>
  <cols>
    <col width="4" customWidth="1" min="1" max="1"/>
    <col width="92" customWidth="1" min="2" max="2"/>
  </cols>
  <sheetData>
    <row r="1" ht="36" customHeight="1">
      <c r="A1" s="1" t="inlineStr">
        <is>
          <t>How to use: Breaker and Cable Size Selection with Derating and Voltage Drop</t>
        </is>
      </c>
      <c r="B1" s="2" t="n"/>
    </row>
    <row r="2" ht="18" customHeight="1">
      <c r="A2" s="3" t="inlineStr">
        <is>
          <t>Sheetaky.com · Ready Excel sheets in Arabic and English</t>
        </is>
      </c>
      <c r="B2" s="4" t="n"/>
    </row>
    <row r="3"/>
    <row r="4" ht="22" customHeight="1">
      <c r="A4" s="5" t="inlineStr">
        <is>
          <t>What is this sheet?</t>
        </is>
      </c>
      <c r="B4" s="6" t="n"/>
    </row>
    <row r="5" ht="45" customHeight="1">
      <c r="A5" s="42" t="inlineStr">
        <is>
          <t>The sheet computes the design current, picks the next standard breaker, applies temperature, grouping and installation factors to cable ampacity and checks voltage drop over the length, showing the smallest size that passes both.</t>
        </is>
      </c>
    </row>
    <row r="6"/>
    <row r="7" ht="22" customHeight="1">
      <c r="A7" s="5" t="inlineStr">
        <is>
          <t>Steps</t>
        </is>
      </c>
      <c r="B7" s="6" t="n"/>
    </row>
    <row r="8" ht="20" customHeight="1">
      <c r="A8" s="36" t="n">
        <v>1</v>
      </c>
      <c r="B8" s="42" t="inlineStr">
        <is>
          <t>Pick phases and voltage, then enter load power and power factor.</t>
        </is>
      </c>
    </row>
    <row r="9" ht="20" customHeight="1">
      <c r="A9" s="36" t="n">
        <v>2</v>
      </c>
      <c r="B9" s="42" t="inlineStr">
        <is>
          <t>Pick conductor, insulation, installation method, temperature and grouped circuits.</t>
        </is>
      </c>
    </row>
    <row r="10" ht="20" customHeight="1">
      <c r="A10" s="36" t="n">
        <v>3</v>
      </c>
      <c r="B10" s="42" t="inlineStr">
        <is>
          <t>Enter cable length, voltage-drop limit and the fault level at the board.</t>
        </is>
      </c>
    </row>
    <row r="11" ht="20" customHeight="1">
      <c r="A11" s="36" t="n">
        <v>4</v>
      </c>
      <c r="B11" s="42" t="inlineStr">
        <is>
          <t>Read the breaker, cable and checks, and review the size comparison table.</t>
        </is>
      </c>
    </row>
    <row r="12"/>
    <row r="13" ht="22" customHeight="1">
      <c r="A13" s="5" t="inlineStr">
        <is>
          <t>Color legend</t>
        </is>
      </c>
      <c r="B13" s="6" t="n"/>
    </row>
    <row r="14">
      <c r="A14" s="43" t="inlineStr"/>
      <c r="B14" s="42" t="inlineStr">
        <is>
          <t>Input cell: type or choose your value here (blue text on yellow).</t>
        </is>
      </c>
    </row>
    <row r="15">
      <c r="A15" s="44" t="inlineStr"/>
      <c r="B15" s="42" t="inlineStr">
        <is>
          <t>Calculated cell: automatic formula, protected from accidental edits.</t>
        </is>
      </c>
    </row>
    <row r="16">
      <c r="A16" s="45" t="inlineStr"/>
      <c r="B16" s="42" t="inlineStr">
        <is>
          <t>Table and section headers.</t>
        </is>
      </c>
    </row>
    <row r="17"/>
    <row r="18" ht="22" customHeight="1">
      <c r="A18" s="5" t="inlineStr">
        <is>
          <t>Important notes</t>
        </is>
      </c>
      <c r="B18" s="6" t="n"/>
    </row>
    <row r="19" ht="30" customHeight="1">
      <c r="A19" s="46" t="inlineStr">
        <is>
          <t>•</t>
        </is>
      </c>
      <c r="B19" s="47" t="inlineStr">
        <is>
          <t>Ampacity values on the Tables sheet are approximate references in the style of IEC 60364-5-52 (method C); match them to your local code and certified cable data before installing.</t>
        </is>
      </c>
    </row>
    <row r="20" ht="30" customHeight="1">
      <c r="A20" s="46" t="inlineStr">
        <is>
          <t>•</t>
        </is>
      </c>
      <c r="B20" s="47" t="inlineStr">
        <is>
          <t>The sheet is a preliminary selection tool and does not replace a certified engineer calculation covering short-circuit withstand and protection discrimination.</t>
        </is>
      </c>
    </row>
    <row r="21" ht="30" customHeight="1">
      <c r="A21" s="46" t="inlineStr">
        <is>
          <t>•</t>
        </is>
      </c>
      <c r="B21" s="47" t="inlineStr">
        <is>
          <t>Sheets are protected without a password to keep formulas safe. To unprotect: Review → Unprotect Sheet.</t>
        </is>
      </c>
    </row>
    <row r="22" ht="20" customHeight="1">
      <c r="A22" s="46" t="inlineStr">
        <is>
          <t>•</t>
        </is>
      </c>
      <c r="B22" s="47" t="inlineStr">
        <is>
          <t>The data shown is a worked example. Clear it and type your own data in the yellow cells only.</t>
        </is>
      </c>
    </row>
    <row r="23" ht="20" customHeight="1">
      <c r="A23" s="46" t="inlineStr">
        <is>
          <t>•</t>
        </is>
      </c>
      <c r="B23" s="47" t="inlineStr">
        <is>
          <t>More free sheets in Arabic and English at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CBL</dc:title>
  <dcterms:created xmlns:dcterms="http://purl.org/dc/terms/" xmlns:xsi="http://www.w3.org/2001/XMLSchema-instance" xsi:type="dcterms:W3CDTF">2026-10-23T12:32:02Z</dcterms:created>
  <dcterms:modified xmlns:dcterms="http://purl.org/dc/terms/" xmlns:xsi="http://www.w3.org/2001/XMLSchema-instance" xsi:type="dcterms:W3CDTF">2026-10-23T12:32:02Z</dcterms:modified>
</cp:coreProperties>
</file>