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oundary" sheetId="1" state="visible" r:id="rId1"/>
    <sheet xmlns:r="http://schemas.openxmlformats.org/officeDocument/2006/relationships" name="Sides" sheetId="2" state="visible" r:id="rId2"/>
    <sheet xmlns:r="http://schemas.openxmlformats.org/officeDocument/2006/relationships" name="AutoCAD" sheetId="3" state="visible" r:id="rId3"/>
    <sheet xmlns:r="http://schemas.openxmlformats.org/officeDocument/2006/relationships" name="Guide" sheetId="4" state="visible" r:id="rId4"/>
  </sheets>
  <definedNames/>
  <calcPr calcId="124519" fullCalcOnLoad="1"/>
</workbook>
</file>

<file path=xl/styles.xml><?xml version="1.0" encoding="utf-8"?>
<styleSheet xmlns="http://schemas.openxmlformats.org/spreadsheetml/2006/main">
  <numFmts count="3">
    <numFmt numFmtId="164" formatCode="0.000"/>
    <numFmt numFmtId="165" formatCode="0.0000"/>
    <numFmt numFmtId="166" formatCode="#,##0.000"/>
  </numFmts>
  <fonts count="11">
    <font>
      <name val="Calibri"/>
      <family val="2"/>
      <color theme="1"/>
      <sz val="11"/>
      <scheme val="minor"/>
    </font>
    <font>
      <name val="Arial"/>
      <b val="1"/>
      <color rgb="00FFFFFF"/>
      <sz val="16"/>
    </font>
    <font>
      <name val="Arial"/>
      <color rgb="00FFFFFF"/>
      <sz val="9"/>
    </font>
    <font>
      <name val="Arial"/>
      <b val="1"/>
      <color rgb="000F4527"/>
      <sz val="11"/>
    </font>
    <font>
      <name val="Arial"/>
      <b val="1"/>
      <color rgb="001F2A24"/>
      <sz val="10"/>
    </font>
    <font>
      <name val="Arial"/>
      <color rgb="001F4FB5"/>
      <sz val="10"/>
    </font>
    <font>
      <name val="Arial"/>
      <b val="1"/>
      <color rgb="00FFFFFF"/>
      <sz val="10"/>
    </font>
    <font>
      <name val="Arial"/>
      <color rgb="001F2A24"/>
      <sz val="10"/>
    </font>
    <font>
      <name val="Arial"/>
      <color rgb="005A665F"/>
      <sz val="9"/>
    </font>
    <font>
      <name val="Arial"/>
      <i val="1"/>
      <color rgb="005A665F"/>
      <sz val="9"/>
    </font>
    <font>
      <name val="Arial"/>
      <b val="1"/>
      <color rgb="00E8A317"/>
      <sz val="10"/>
    </font>
  </fonts>
  <fills count="8">
    <fill>
      <patternFill/>
    </fill>
    <fill>
      <patternFill patternType="gray125"/>
    </fill>
    <fill>
      <patternFill patternType="solid">
        <fgColor rgb="0017603A"/>
      </patternFill>
    </fill>
    <fill>
      <patternFill patternType="solid">
        <fgColor rgb="000F4527"/>
      </patternFill>
    </fill>
    <fill>
      <patternFill patternType="solid">
        <fgColor rgb="00EEF3EF"/>
      </patternFill>
    </fill>
    <fill>
      <patternFill patternType="solid">
        <fgColor rgb="00FFF6DD"/>
      </patternFill>
    </fill>
    <fill>
      <patternFill patternType="solid">
        <fgColor rgb="00E8F1EA"/>
      </patternFill>
    </fill>
    <fill>
      <patternFill patternType="solid">
        <fgColor rgb="00D9EAD3"/>
      </patternFill>
    </fill>
  </fills>
  <borders count="2">
    <border>
      <left/>
      <right/>
      <top/>
      <bottom/>
      <diagonal/>
    </border>
    <border>
      <left style="thin">
        <color rgb="00C9CFC9"/>
      </left>
      <right style="thin">
        <color rgb="00C9CFC9"/>
      </right>
      <top style="thin">
        <color rgb="00C9CFC9"/>
      </top>
      <bottom style="thin">
        <color rgb="00C9CFC9"/>
      </bottom>
    </border>
  </borders>
  <cellStyleXfs count="1">
    <xf numFmtId="0" fontId="0" fillId="0" borderId="0"/>
  </cellStyleXfs>
  <cellXfs count="30">
    <xf numFmtId="0" fontId="0" fillId="0" borderId="0" pivotButton="0" quotePrefix="0" xfId="0"/>
    <xf numFmtId="0" fontId="1" fillId="2" borderId="0" applyAlignment="1" pivotButton="0" quotePrefix="0" xfId="0">
      <alignment horizontal="center" vertical="center" wrapText="1" readingOrder="1"/>
    </xf>
    <xf numFmtId="0" fontId="0" fillId="2" borderId="0" pivotButton="0" quotePrefix="0" xfId="0"/>
    <xf numFmtId="0" fontId="2" fillId="3" borderId="0" applyAlignment="1" pivotButton="0" quotePrefix="0" xfId="0">
      <alignment horizontal="center" vertical="center" wrapText="1" readingOrder="1"/>
    </xf>
    <xf numFmtId="0" fontId="0" fillId="3" borderId="0" pivotButton="0" quotePrefix="0" xfId="0"/>
    <xf numFmtId="0" fontId="3" fillId="4" borderId="1" applyAlignment="1" pivotButton="0" quotePrefix="0" xfId="0">
      <alignment horizontal="left" vertical="center" wrapText="1" readingOrder="1"/>
    </xf>
    <xf numFmtId="0" fontId="0" fillId="4" borderId="1" pivotButton="0" quotePrefix="0" xfId="0"/>
    <xf numFmtId="0" fontId="6" fillId="2" borderId="1" applyAlignment="1" pivotButton="0" quotePrefix="0" xfId="0">
      <alignment horizontal="center" vertical="center" wrapText="1" readingOrder="1"/>
    </xf>
    <xf numFmtId="0" fontId="4" fillId="0" borderId="1" applyAlignment="1" pivotButton="0" quotePrefix="0" xfId="0">
      <alignment horizontal="center" vertical="center" wrapText="1" readingOrder="1"/>
    </xf>
    <xf numFmtId="0" fontId="5" fillId="5" borderId="1" applyAlignment="1" applyProtection="1" pivotButton="0" quotePrefix="0" xfId="0">
      <alignment horizontal="center" vertical="center" wrapText="1" readingOrder="1"/>
      <protection locked="0" hidden="0"/>
    </xf>
    <xf numFmtId="164" fontId="5" fillId="5" borderId="1" applyAlignment="1" applyProtection="1" pivotButton="0" quotePrefix="0" xfId="0">
      <alignment horizontal="center" vertical="center" wrapText="1" readingOrder="1"/>
      <protection locked="0" hidden="0"/>
    </xf>
    <xf numFmtId="2" fontId="5" fillId="5" borderId="1" applyAlignment="1" applyProtection="1" pivotButton="0" quotePrefix="0" xfId="0">
      <alignment horizontal="center" vertical="center" wrapText="1" readingOrder="1"/>
      <protection locked="0" hidden="0"/>
    </xf>
    <xf numFmtId="0" fontId="4" fillId="4" borderId="1" applyAlignment="1" pivotButton="0" quotePrefix="0" xfId="0">
      <alignment horizontal="center" vertical="center" wrapText="1" readingOrder="1"/>
    </xf>
    <xf numFmtId="0" fontId="7" fillId="4" borderId="1" applyAlignment="1" pivotButton="0" quotePrefix="0" xfId="0">
      <alignment horizontal="center" vertical="center" wrapText="1" readingOrder="1"/>
    </xf>
    <xf numFmtId="1" fontId="7" fillId="6" borderId="1" applyAlignment="1" pivotButton="0" quotePrefix="0" xfId="0">
      <alignment horizontal="center" vertical="center" wrapText="1" readingOrder="1"/>
    </xf>
    <xf numFmtId="0" fontId="7" fillId="6" borderId="1" applyAlignment="1" pivotButton="0" quotePrefix="0" xfId="0">
      <alignment horizontal="center" vertical="center" wrapText="1" readingOrder="1"/>
    </xf>
    <xf numFmtId="166" fontId="4" fillId="7" borderId="1" applyAlignment="1" pivotButton="0" quotePrefix="0" xfId="0">
      <alignment horizontal="center" vertical="center" wrapText="1" readingOrder="1"/>
    </xf>
    <xf numFmtId="166" fontId="4" fillId="6" borderId="1" applyAlignment="1" pivotButton="0" quotePrefix="0" xfId="0">
      <alignment horizontal="center" vertical="center" wrapText="1" readingOrder="1"/>
    </xf>
    <xf numFmtId="165" fontId="7" fillId="6" borderId="1" applyAlignment="1" pivotButton="0" quotePrefix="0" xfId="0">
      <alignment horizontal="center" vertical="center" wrapText="1" readingOrder="1"/>
    </xf>
    <xf numFmtId="164" fontId="7" fillId="6" borderId="1" applyAlignment="1" pivotButton="0" quotePrefix="0" xfId="0">
      <alignment horizontal="center" vertical="center" wrapText="1" readingOrder="1"/>
    </xf>
    <xf numFmtId="2" fontId="7" fillId="6" borderId="1" applyAlignment="1" pivotButton="0" quotePrefix="0" xfId="0">
      <alignment horizontal="center" vertical="center" wrapText="1" readingOrder="1"/>
    </xf>
    <xf numFmtId="0" fontId="7" fillId="0" borderId="1" applyAlignment="1" pivotButton="0" quotePrefix="0" xfId="0">
      <alignment horizontal="left" vertical="center" wrapText="1" readingOrder="1"/>
    </xf>
    <xf numFmtId="0" fontId="8" fillId="0" borderId="1" applyAlignment="1" pivotButton="0" quotePrefix="0" xfId="0">
      <alignment horizontal="center" vertical="center" wrapText="1" readingOrder="1"/>
    </xf>
    <xf numFmtId="0" fontId="9" fillId="0" borderId="0" applyAlignment="1" pivotButton="0" quotePrefix="0" xfId="0">
      <alignment horizontal="left" vertical="center" wrapText="1" readingOrder="1"/>
    </xf>
    <xf numFmtId="0" fontId="6" fillId="2" borderId="1" applyAlignment="1" pivotButton="0" quotePrefix="0" xfId="0">
      <alignment horizontal="left" vertical="center" wrapText="1" readingOrder="1"/>
    </xf>
    <xf numFmtId="0" fontId="5" fillId="5" borderId="1" applyAlignment="1" applyProtection="1" pivotButton="0" quotePrefix="0" xfId="0">
      <alignment horizontal="left" vertical="center" wrapText="1" readingOrder="1"/>
      <protection locked="0" hidden="0"/>
    </xf>
    <xf numFmtId="0" fontId="7" fillId="6" borderId="1" applyAlignment="1" pivotButton="0" quotePrefix="0" xfId="0">
      <alignment horizontal="left" vertical="center" wrapText="1" readingOrder="1"/>
    </xf>
    <xf numFmtId="0" fontId="7" fillId="2" borderId="1" applyAlignment="1" pivotButton="0" quotePrefix="0" xfId="0">
      <alignment horizontal="left" vertical="center" wrapText="1" readingOrder="1"/>
    </xf>
    <xf numFmtId="0" fontId="10" fillId="0" borderId="0" applyAlignment="1" pivotButton="0" quotePrefix="0" xfId="0">
      <alignment horizontal="left" vertical="center" wrapText="1" readingOrder="1"/>
    </xf>
    <xf numFmtId="0" fontId="7" fillId="0" borderId="0" applyAlignment="1" pivotButton="0" quotePrefix="0" xfId="0">
      <alignment horizontal="left" vertical="center" wrapText="1" readingOrder="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7603A"/>
    <outlinePr summaryBelow="1" summaryRight="1"/>
    <pageSetUpPr fitToPage="1"/>
  </sheetPr>
  <dimension ref="A1:F35"/>
  <sheetViews>
    <sheetView showGridLines="0" rightToLeft="0" zoomScale="100" workbookViewId="0">
      <pane ySplit="5" topLeftCell="A6" activePane="bottomLeft" state="frozen"/>
      <selection pane="bottomLeft" activeCell="A1" sqref="A1"/>
    </sheetView>
  </sheetViews>
  <sheetFormatPr baseColWidth="8" defaultRowHeight="15"/>
  <cols>
    <col width="11" customWidth="1" min="1" max="1"/>
    <col width="16" customWidth="1" min="2" max="2"/>
    <col width="16" customWidth="1" min="3" max="3"/>
    <col width="4" customWidth="1" min="4" max="4"/>
    <col width="34" customWidth="1" min="5" max="5"/>
    <col width="18" customWidth="1" min="6" max="6"/>
  </cols>
  <sheetData>
    <row r="1" ht="36" customHeight="1">
      <c r="A1" s="1" t="inlineStr">
        <is>
          <t>Land Boundary: Area, Perimeter and AutoCAD Polyline</t>
        </is>
      </c>
      <c r="B1" s="2" t="n"/>
      <c r="C1" s="2" t="n"/>
      <c r="D1" s="2" t="n"/>
      <c r="E1" s="2" t="n"/>
      <c r="F1" s="2" t="n"/>
    </row>
    <row r="2" ht="18" customHeight="1">
      <c r="A2" s="3" t="inlineStr">
        <is>
          <t>Enter the plot corner coordinates in order to get area, perimeter, side lengths, azimuths and AutoCAD commands</t>
        </is>
      </c>
      <c r="B2" s="4" t="n"/>
      <c r="C2" s="4" t="n"/>
      <c r="D2" s="4" t="n"/>
      <c r="E2" s="4" t="n"/>
      <c r="F2" s="4" t="n"/>
    </row>
    <row r="3"/>
    <row r="4" ht="22" customHeight="1">
      <c r="A4" s="5" t="inlineStr">
        <is>
          <t>Corners in order</t>
        </is>
      </c>
      <c r="B4" s="6" t="n"/>
      <c r="C4" s="6" t="n"/>
      <c r="E4" s="5" t="inlineStr">
        <is>
          <t>Settings</t>
        </is>
      </c>
      <c r="F4" s="6" t="n"/>
    </row>
    <row r="5" ht="30" customHeight="1">
      <c r="A5" s="7" t="inlineStr">
        <is>
          <t>Point</t>
        </is>
      </c>
      <c r="B5" s="7" t="inlineStr">
        <is>
          <t>Northing N</t>
        </is>
      </c>
      <c r="C5" s="7" t="inlineStr">
        <is>
          <t>Easting E</t>
        </is>
      </c>
      <c r="E5" s="8" t="inlineStr">
        <is>
          <t>Closed line?</t>
        </is>
      </c>
      <c r="F5" s="9" t="inlineStr">
        <is>
          <t>Yes</t>
        </is>
      </c>
    </row>
    <row r="6">
      <c r="A6" s="9" t="inlineStr">
        <is>
          <t>1</t>
        </is>
      </c>
      <c r="B6" s="10" t="n">
        <v>2845100</v>
      </c>
      <c r="C6" s="10" t="n">
        <v>512300</v>
      </c>
      <c r="E6" s="8" t="inlineStr">
        <is>
          <t>Text height</t>
        </is>
      </c>
      <c r="F6" s="11" t="n">
        <v>1</v>
      </c>
    </row>
    <row r="7">
      <c r="A7" s="9" t="inlineStr">
        <is>
          <t>2</t>
        </is>
      </c>
      <c r="B7" s="10" t="n">
        <v>2845100</v>
      </c>
      <c r="C7" s="10" t="n">
        <v>512360.25</v>
      </c>
      <c r="E7" s="8" t="inlineStr">
        <is>
          <t>Boundary layer</t>
        </is>
      </c>
      <c r="F7" s="9" t="inlineStr">
        <is>
          <t>SK_BOUNDARY</t>
        </is>
      </c>
    </row>
    <row r="8">
      <c r="A8" s="9" t="inlineStr">
        <is>
          <t>3</t>
        </is>
      </c>
      <c r="B8" s="10" t="n">
        <v>2845128.4</v>
      </c>
      <c r="C8" s="10" t="n">
        <v>512392.1</v>
      </c>
      <c r="E8" s="8" t="inlineStr">
        <is>
          <t>Lengths layer</t>
        </is>
      </c>
      <c r="F8" s="9" t="inlineStr">
        <is>
          <t>SK_LEN</t>
        </is>
      </c>
    </row>
    <row r="9">
      <c r="A9" s="9" t="inlineStr">
        <is>
          <t>4</t>
        </is>
      </c>
      <c r="B9" s="10" t="n">
        <v>2845165.3</v>
      </c>
      <c r="C9" s="10" t="n">
        <v>512385.7</v>
      </c>
      <c r="E9" s="12" t="inlineStr">
        <is>
          <t>Results</t>
        </is>
      </c>
      <c r="F9" s="13" t="inlineStr"/>
    </row>
    <row r="10">
      <c r="A10" s="9" t="inlineStr">
        <is>
          <t>5</t>
        </is>
      </c>
      <c r="B10" s="10" t="n">
        <v>2845172.8</v>
      </c>
      <c r="C10" s="10" t="n">
        <v>512330.4</v>
      </c>
      <c r="E10" s="8" t="inlineStr">
        <is>
          <t>Corners</t>
        </is>
      </c>
      <c r="F10" s="14">
        <f>SUMPRODUCT(--ISNUMBER($B$6:$B$35),--ISNUMBER($C$6:$C$35))</f>
        <v/>
      </c>
    </row>
    <row r="11">
      <c r="A11" s="9" t="inlineStr">
        <is>
          <t>6</t>
        </is>
      </c>
      <c r="B11" s="10" t="n">
        <v>2845140.1</v>
      </c>
      <c r="C11" s="10" t="n">
        <v>512298.2</v>
      </c>
      <c r="E11" s="8" t="inlineStr">
        <is>
          <t>Row sequence</t>
        </is>
      </c>
      <c r="F11" s="15">
        <f>IF(AND($F$10&gt;=3,COUNT(B6:B6)&gt;0,SUMPRODUCT(--ISNUMBER(B6:INDEX($B$6:$B$35,$F$10)))=$F$10),"OK ✓","Enter at least 3 corners with no empty rows")</f>
        <v/>
      </c>
    </row>
    <row r="12">
      <c r="A12" s="9" t="n"/>
      <c r="B12" s="10" t="n"/>
      <c r="C12" s="10" t="n"/>
      <c r="E12" s="8" t="inlineStr">
        <is>
          <t>Area (m²)</t>
        </is>
      </c>
      <c r="F12" s="16">
        <f>IF($F$10&gt;=3,ABS(SUM('Sides'!$F$6:$F$35))/2,0)</f>
        <v/>
      </c>
    </row>
    <row r="13">
      <c r="A13" s="9" t="n"/>
      <c r="B13" s="10" t="n"/>
      <c r="C13" s="10" t="n"/>
      <c r="E13" s="8" t="inlineStr">
        <is>
          <t>Perimeter (m)</t>
        </is>
      </c>
      <c r="F13" s="17">
        <f>SUM('Sides'!$B$6:$B$35)</f>
        <v/>
      </c>
    </row>
    <row r="14">
      <c r="A14" s="9" t="n"/>
      <c r="B14" s="10" t="n"/>
      <c r="C14" s="10" t="n"/>
      <c r="E14" s="8" t="inlineStr">
        <is>
          <t>Area in hectares</t>
        </is>
      </c>
      <c r="F14" s="18">
        <f>$F$12/10000</f>
        <v/>
      </c>
    </row>
    <row r="15">
      <c r="A15" s="9" t="n"/>
      <c r="B15" s="10" t="n"/>
      <c r="C15" s="10" t="n"/>
      <c r="E15" s="8" t="inlineStr">
        <is>
          <t>Area in feddan</t>
        </is>
      </c>
      <c r="F15" s="18">
        <f>$F$12/4200.833</f>
        <v/>
      </c>
    </row>
    <row r="16">
      <c r="A16" s="9" t="n"/>
      <c r="B16" s="10" t="n"/>
      <c r="C16" s="10" t="n"/>
      <c r="E16" s="8" t="inlineStr">
        <is>
          <t>Area in dunum (1000 m²)</t>
        </is>
      </c>
      <c r="F16" s="19">
        <f>$F$12/1000</f>
        <v/>
      </c>
    </row>
    <row r="17">
      <c r="A17" s="9" t="n"/>
      <c r="B17" s="10" t="n"/>
      <c r="C17" s="10" t="n"/>
      <c r="E17" s="8" t="inlineStr">
        <is>
          <t>Centroid E</t>
        </is>
      </c>
      <c r="F17" s="19">
        <f>IF($F$12&gt;0,SUM('Sides'!$L$6:$L$35)/(3*SUM('Sides'!$F$6:$F$35)),0)</f>
        <v/>
      </c>
    </row>
    <row r="18">
      <c r="A18" s="9" t="n"/>
      <c r="B18" s="10" t="n"/>
      <c r="C18" s="10" t="n"/>
      <c r="E18" s="8" t="inlineStr">
        <is>
          <t>Centroid N</t>
        </is>
      </c>
      <c r="F18" s="19">
        <f>IF($F$12&gt;0,SUM('Sides'!$M$6:$M$35)/(3*SUM('Sides'!$F$6:$F$35)),0)</f>
        <v/>
      </c>
    </row>
    <row r="19">
      <c r="A19" s="9" t="n"/>
      <c r="B19" s="10" t="n"/>
      <c r="C19" s="10" t="n"/>
      <c r="E19" s="8" t="inlineStr">
        <is>
          <t>Order direction</t>
        </is>
      </c>
      <c r="F19" s="15">
        <f>IF(SUM('Sides'!$F$6:$F$35)&lt;0,"Clockwise","Anticlockwise")</f>
        <v/>
      </c>
    </row>
    <row r="20">
      <c r="A20" s="9" t="n"/>
      <c r="B20" s="10" t="n"/>
      <c r="C20" s="10" t="n"/>
    </row>
    <row r="21">
      <c r="A21" s="9" t="n"/>
      <c r="B21" s="10" t="n"/>
      <c r="C21" s="10" t="n"/>
    </row>
    <row r="22">
      <c r="A22" s="9" t="n"/>
      <c r="B22" s="10" t="n"/>
      <c r="C22" s="10" t="n"/>
    </row>
    <row r="23">
      <c r="A23" s="9" t="n"/>
      <c r="B23" s="10" t="n"/>
      <c r="C23" s="10" t="n"/>
    </row>
    <row r="24">
      <c r="A24" s="9" t="n"/>
      <c r="B24" s="10" t="n"/>
      <c r="C24" s="10" t="n"/>
    </row>
    <row r="25">
      <c r="A25" s="9" t="n"/>
      <c r="B25" s="10" t="n"/>
      <c r="C25" s="10" t="n"/>
    </row>
    <row r="26">
      <c r="A26" s="9" t="n"/>
      <c r="B26" s="10" t="n"/>
      <c r="C26" s="10" t="n"/>
    </row>
    <row r="27">
      <c r="A27" s="9" t="n"/>
      <c r="B27" s="10" t="n"/>
      <c r="C27" s="10" t="n"/>
    </row>
    <row r="28">
      <c r="A28" s="9" t="n"/>
      <c r="B28" s="10" t="n"/>
      <c r="C28" s="10" t="n"/>
    </row>
    <row r="29">
      <c r="A29" s="9" t="n"/>
      <c r="B29" s="10" t="n"/>
      <c r="C29" s="10" t="n"/>
    </row>
    <row r="30">
      <c r="A30" s="9" t="n"/>
      <c r="B30" s="10" t="n"/>
      <c r="C30" s="10" t="n"/>
    </row>
    <row r="31">
      <c r="A31" s="9" t="n"/>
      <c r="B31" s="10" t="n"/>
      <c r="C31" s="10" t="n"/>
    </row>
    <row r="32">
      <c r="A32" s="9" t="n"/>
      <c r="B32" s="10" t="n"/>
      <c r="C32" s="10" t="n"/>
    </row>
    <row r="33">
      <c r="A33" s="9" t="n"/>
      <c r="B33" s="10" t="n"/>
      <c r="C33" s="10" t="n"/>
    </row>
    <row r="34">
      <c r="A34" s="9" t="n"/>
      <c r="B34" s="10" t="n"/>
      <c r="C34" s="10" t="n"/>
    </row>
    <row r="35">
      <c r="A35" s="9" t="n"/>
      <c r="B35" s="10" t="n"/>
      <c r="C35" s="10" t="n"/>
    </row>
  </sheetData>
  <sheetProtection selectLockedCells="0" selectUnlockedCells="0" sheet="1" objects="0" insertRows="1" insertHyperlinks="1" autoFilter="0" scenarios="0" formatColumns="0" deleteColumns="1" insertColumns="1" pivotTables="1" deleteRows="1" formatCells="0" formatRows="0" sort="0"/>
  <mergeCells count="4">
    <mergeCell ref="A2:F2"/>
    <mergeCell ref="E4:F4"/>
    <mergeCell ref="A4:C4"/>
    <mergeCell ref="A1:F1"/>
  </mergeCells>
  <dataValidations count="3">
    <dataValidation sqref="F5" showDropDown="0" showInputMessage="0" showErrorMessage="1" allowBlank="1" errorTitle="Sheetaky" error="Pick a value from the list" type="list">
      <formula1>"Yes,No"</formula1>
    </dataValidation>
    <dataValidation sqref="F6" showDropDown="0" showInputMessage="0" showErrorMessage="1" allowBlank="1" errorTitle="Sheetaky" error="Enter a number between 0.01 and 1000" type="decimal" operator="between">
      <formula1>0.01</formula1>
      <formula2>1000</formula2>
    </dataValidation>
    <dataValidation sqref="B6:C35" showDropDown="0" showInputMessage="0" showErrorMessage="1" allowBlank="1" errorTitle="Sheetaky" error="Enter a number between -10000000000.0 and 10000000000.0" type="decimal" operator="between">
      <formula1>-10000000000.0</formula1>
      <formula2>10000000000.0</formula2>
    </dataValidation>
  </dataValidations>
  <printOptions horizontalCentered="1"/>
  <pageMargins left="0.4" right="0.4" top="1" bottom="1" header="0.5" footer="0.5"/>
  <pageSetup paperSize="9" fitToHeight="0" fitToWidth="1"/>
  <headerFooter>
    <oddHeader/>
    <oddFooter>&amp;CSheetaky.com</oddFooter>
    <evenHeader/>
    <evenFooter/>
    <firstHeader/>
    <firstFooter/>
  </headerFooter>
</worksheet>
</file>

<file path=xl/worksheets/sheet2.xml><?xml version="1.0" encoding="utf-8"?>
<worksheet xmlns="http://schemas.openxmlformats.org/spreadsheetml/2006/main">
  <sheetPr>
    <tabColor rgb="0017603A"/>
    <outlinePr summaryBelow="1" summaryRight="1"/>
    <pageSetUpPr fitToPage="1"/>
  </sheetPr>
  <dimension ref="A1:M35"/>
  <sheetViews>
    <sheetView showGridLines="0" rightToLeft="0" zoomScale="100" workbookViewId="0">
      <selection activeCell="A1" sqref="A1"/>
    </sheetView>
  </sheetViews>
  <sheetFormatPr baseColWidth="8" defaultRowHeight="15"/>
  <cols>
    <col width="10" customWidth="1" min="1" max="1"/>
    <col width="14" customWidth="1" min="2" max="2"/>
    <col width="14" customWidth="1" min="3" max="3"/>
    <col width="16" customWidth="1" min="4" max="4"/>
    <col width="14" customWidth="1" min="5" max="5"/>
    <col width="16" customWidth="1" min="6" max="6"/>
    <col width="14" customWidth="1" min="7" max="7"/>
    <col width="14" customWidth="1" min="8" max="8"/>
    <col width="14" customWidth="1" min="9" max="9"/>
    <col width="14" customWidth="1" min="10" max="10"/>
    <col width="30" customWidth="1" min="11" max="11"/>
    <col width="14" customWidth="1" min="12" max="12"/>
    <col width="14" customWidth="1" min="13" max="13"/>
  </cols>
  <sheetData>
    <row r="1" ht="36" customHeight="1">
      <c r="A1" s="1" t="inlineStr">
        <is>
          <t>Side calculations</t>
        </is>
      </c>
      <c r="B1" s="2" t="n"/>
      <c r="C1" s="2" t="n"/>
      <c r="D1" s="2" t="n"/>
      <c r="E1" s="2" t="n"/>
      <c r="F1" s="2" t="n"/>
      <c r="G1" s="2" t="n"/>
      <c r="H1" s="2" t="n"/>
      <c r="I1" s="2" t="n"/>
      <c r="J1" s="2" t="n"/>
      <c r="K1" s="2" t="n"/>
      <c r="L1" s="2" t="n"/>
      <c r="M1" s="2" t="n"/>
    </row>
    <row r="2" ht="18" customHeight="1">
      <c r="A2" s="3" t="inlineStr">
        <is>
          <t>Calculated automatically from the Boundary sheet</t>
        </is>
      </c>
      <c r="B2" s="4" t="n"/>
      <c r="C2" s="4" t="n"/>
      <c r="D2" s="4" t="n"/>
      <c r="E2" s="4" t="n"/>
      <c r="F2" s="4" t="n"/>
      <c r="G2" s="4" t="n"/>
      <c r="H2" s="4" t="n"/>
      <c r="I2" s="4" t="n"/>
      <c r="J2" s="4" t="n"/>
      <c r="K2" s="4" t="n"/>
      <c r="L2" s="4" t="n"/>
      <c r="M2" s="4" t="n"/>
    </row>
    <row r="3"/>
    <row r="4"/>
    <row r="5" ht="34" customHeight="1">
      <c r="A5" s="7" t="inlineStr">
        <is>
          <t>From</t>
        </is>
      </c>
      <c r="B5" s="7" t="inlineStr">
        <is>
          <t>Length</t>
        </is>
      </c>
      <c r="C5" s="7" t="inlineStr">
        <is>
          <t>Azimuth</t>
        </is>
      </c>
      <c r="D5" s="7" t="inlineStr">
        <is>
          <t>Az D°M'S"</t>
        </is>
      </c>
      <c r="E5" s="7" t="inlineStr">
        <is>
          <t>CAD text angle</t>
        </is>
      </c>
      <c r="F5" s="7" t="inlineStr">
        <is>
          <t>Cross (helper)</t>
        </is>
      </c>
      <c r="G5" s="7" t="inlineStr">
        <is>
          <t>Mid E</t>
        </is>
      </c>
      <c r="H5" s="7" t="inlineStr">
        <is>
          <t>Mid N</t>
        </is>
      </c>
      <c r="I5" s="7" t="inlineStr">
        <is>
          <t>Label E</t>
        </is>
      </c>
      <c r="J5" s="7" t="inlineStr">
        <is>
          <t>Label N</t>
        </is>
      </c>
      <c r="K5" s="7" t="inlineStr">
        <is>
          <t>Cumulative</t>
        </is>
      </c>
      <c r="L5" s="7" t="inlineStr">
        <is>
          <t>Cx help</t>
        </is>
      </c>
      <c r="M5" s="7" t="inlineStr">
        <is>
          <t>Cy help</t>
        </is>
      </c>
    </row>
    <row r="6">
      <c r="A6" s="15">
        <f>IF(1&lt;='Boundary'!$F$10,'Boundary'!A6,"")</f>
        <v/>
      </c>
      <c r="B6" s="19">
        <f>IF(AND(1&lt;='Boundary'!$F$10,OR('Boundary'!$F$5="Yes",1&lt;'Boundary'!$F$10)),SQRT((INDEX('Boundary'!$B$6:$B$35,IF(1='Boundary'!$F$10,1,1+1))-'Boundary'!B6)^2+(INDEX('Boundary'!$C$6:$C$35,IF(1='Boundary'!$F$10,1,1+1))-'Boundary'!C6)^2),"")</f>
        <v/>
      </c>
      <c r="C6" s="18">
        <f>IF(AND(1&lt;='Boundary'!$F$10,OR('Boundary'!$F$5="Yes",1&lt;'Boundary'!$F$10)),MOD(DEGREES(ATAN2((INDEX('Boundary'!$B$6:$B$35,IF(1='Boundary'!$F$10,1,1+1))-'Boundary'!B6),(INDEX('Boundary'!$C$6:$C$35,IF(1='Boundary'!$F$10,1,1+1))-'Boundary'!C6))),360),"")</f>
        <v/>
      </c>
      <c r="D6" s="15">
        <f>IF(AND(1&lt;='Boundary'!$F$10,OR('Boundary'!$F$5="Yes",1&lt;'Boundary'!$F$10)),INT(MOD(ROUND(MOD(C6,360)*3600,0),1296000)/3600)&amp;"°"&amp;TEXT(INT(MOD(MOD(ROUND(MOD(C6,360)*3600,0),1296000),3600)/60),"00")&amp;"'"&amp;TEXT(MOD(MOD(ROUND(MOD(C6,360)*3600,0),1296000),60),"00")&amp;"""","")</f>
        <v/>
      </c>
      <c r="E6" s="20">
        <f>IF(AND(1&lt;='Boundary'!$F$10,OR('Boundary'!$F$5="Yes",1&lt;'Boundary'!$F$10)),IF(AND(MOD(DEGREES(ATAN2((INDEX('Boundary'!$C$6:$C$35,IF(1='Boundary'!$F$10,1,1+1))-'Boundary'!C6),(INDEX('Boundary'!$B$6:$B$35,IF(1='Boundary'!$F$10,1,1+1))-'Boundary'!B6))),360)&gt;90,MOD(DEGREES(ATAN2((INDEX('Boundary'!$C$6:$C$35,IF(1='Boundary'!$F$10,1,1+1))-'Boundary'!C6),(INDEX('Boundary'!$B$6:$B$35,IF(1='Boundary'!$F$10,1,1+1))-'Boundary'!B6))),360)&lt;=270),MOD(DEGREES(ATAN2((INDEX('Boundary'!$C$6:$C$35,IF(1='Boundary'!$F$10,1,1+1))-'Boundary'!C6),(INDEX('Boundary'!$B$6:$B$35,IF(1='Boundary'!$F$10,1,1+1))-'Boundary'!B6))),360)-180,MOD(DEGREES(ATAN2((INDEX('Boundary'!$C$6:$C$35,IF(1='Boundary'!$F$10,1,1+1))-'Boundary'!C6),(INDEX('Boundary'!$B$6:$B$35,IF(1='Boundary'!$F$10,1,1+1))-'Boundary'!B6))),360)),"")</f>
        <v/>
      </c>
      <c r="F6" s="19">
        <f>IF(1&lt;='Boundary'!$F$10,'Boundary'!C6*INDEX('Boundary'!$B$6:$B$35,IF(1='Boundary'!$F$10,1,1+1))-INDEX('Boundary'!$C$6:$C$35,IF(1='Boundary'!$F$10,1,1+1))*'Boundary'!B6,0)</f>
        <v/>
      </c>
      <c r="G6" s="19">
        <f>IF(AND(1&lt;='Boundary'!$F$10,OR('Boundary'!$F$5="Yes",1&lt;'Boundary'!$F$10)),('Boundary'!C6+INDEX('Boundary'!$C$6:$C$35,IF(1='Boundary'!$F$10,1,1+1)))/2,"")</f>
        <v/>
      </c>
      <c r="H6" s="19">
        <f>IF(AND(1&lt;='Boundary'!$F$10,OR('Boundary'!$F$5="Yes",1&lt;'Boundary'!$F$10)),('Boundary'!B6+INDEX('Boundary'!$B$6:$B$35,IF(1='Boundary'!$F$10,1,1+1)))/2,"")</f>
        <v/>
      </c>
      <c r="I6" s="19">
        <f>IF(AND(1&lt;='Boundary'!$F$10,OR('Boundary'!$F$5="Yes",1&lt;'Boundary'!$F$10)),G6-0.8*'Boundary'!$F$6*SIN(RADIANS(E6)),"")</f>
        <v/>
      </c>
      <c r="J6" s="19">
        <f>IF(AND(1&lt;='Boundary'!$F$10,OR('Boundary'!$F$5="Yes",1&lt;'Boundary'!$F$10)),H6+0.8*'Boundary'!$F$6*COS(RADIANS(E6)),"")</f>
        <v/>
      </c>
      <c r="K6" s="15">
        <f>IF(1&lt;='Boundary'!$F$10,""&amp;" "&amp;SUBSTITUTE(ROUND('Boundary'!C6,3)&amp;"",",",".")&amp;","&amp;SUBSTITUTE(ROUND('Boundary'!B6,3)&amp;"",",","."),"")</f>
        <v/>
      </c>
      <c r="L6" s="19">
        <f>IF(1&lt;='Boundary'!$F$10,('Boundary'!C6+INDEX('Boundary'!$C$6:$C$35,IF(1='Boundary'!$F$10,1,1+1)))*F6,0)</f>
        <v/>
      </c>
      <c r="M6" s="19">
        <f>IF(1&lt;='Boundary'!$F$10,('Boundary'!B6+INDEX('Boundary'!$B$6:$B$35,IF(1='Boundary'!$F$10,1,1+1)))*F6,0)</f>
        <v/>
      </c>
    </row>
    <row r="7">
      <c r="A7" s="15">
        <f>IF(2&lt;='Boundary'!$F$10,'Boundary'!A7,"")</f>
        <v/>
      </c>
      <c r="B7" s="19">
        <f>IF(AND(2&lt;='Boundary'!$F$10,OR('Boundary'!$F$5="Yes",2&lt;'Boundary'!$F$10)),SQRT((INDEX('Boundary'!$B$6:$B$35,IF(2='Boundary'!$F$10,1,2+1))-'Boundary'!B7)^2+(INDEX('Boundary'!$C$6:$C$35,IF(2='Boundary'!$F$10,1,2+1))-'Boundary'!C7)^2),"")</f>
        <v/>
      </c>
      <c r="C7" s="18">
        <f>IF(AND(2&lt;='Boundary'!$F$10,OR('Boundary'!$F$5="Yes",2&lt;'Boundary'!$F$10)),MOD(DEGREES(ATAN2((INDEX('Boundary'!$B$6:$B$35,IF(2='Boundary'!$F$10,1,2+1))-'Boundary'!B7),(INDEX('Boundary'!$C$6:$C$35,IF(2='Boundary'!$F$10,1,2+1))-'Boundary'!C7))),360),"")</f>
        <v/>
      </c>
      <c r="D7" s="15">
        <f>IF(AND(2&lt;='Boundary'!$F$10,OR('Boundary'!$F$5="Yes",2&lt;'Boundary'!$F$10)),INT(MOD(ROUND(MOD(C7,360)*3600,0),1296000)/3600)&amp;"°"&amp;TEXT(INT(MOD(MOD(ROUND(MOD(C7,360)*3600,0),1296000),3600)/60),"00")&amp;"'"&amp;TEXT(MOD(MOD(ROUND(MOD(C7,360)*3600,0),1296000),60),"00")&amp;"""","")</f>
        <v/>
      </c>
      <c r="E7" s="20">
        <f>IF(AND(2&lt;='Boundary'!$F$10,OR('Boundary'!$F$5="Yes",2&lt;'Boundary'!$F$10)),IF(AND(MOD(DEGREES(ATAN2((INDEX('Boundary'!$C$6:$C$35,IF(2='Boundary'!$F$10,1,2+1))-'Boundary'!C7),(INDEX('Boundary'!$B$6:$B$35,IF(2='Boundary'!$F$10,1,2+1))-'Boundary'!B7))),360)&gt;90,MOD(DEGREES(ATAN2((INDEX('Boundary'!$C$6:$C$35,IF(2='Boundary'!$F$10,1,2+1))-'Boundary'!C7),(INDEX('Boundary'!$B$6:$B$35,IF(2='Boundary'!$F$10,1,2+1))-'Boundary'!B7))),360)&lt;=270),MOD(DEGREES(ATAN2((INDEX('Boundary'!$C$6:$C$35,IF(2='Boundary'!$F$10,1,2+1))-'Boundary'!C7),(INDEX('Boundary'!$B$6:$B$35,IF(2='Boundary'!$F$10,1,2+1))-'Boundary'!B7))),360)-180,MOD(DEGREES(ATAN2((INDEX('Boundary'!$C$6:$C$35,IF(2='Boundary'!$F$10,1,2+1))-'Boundary'!C7),(INDEX('Boundary'!$B$6:$B$35,IF(2='Boundary'!$F$10,1,2+1))-'Boundary'!B7))),360)),"")</f>
        <v/>
      </c>
      <c r="F7" s="19">
        <f>IF(2&lt;='Boundary'!$F$10,'Boundary'!C7*INDEX('Boundary'!$B$6:$B$35,IF(2='Boundary'!$F$10,1,2+1))-INDEX('Boundary'!$C$6:$C$35,IF(2='Boundary'!$F$10,1,2+1))*'Boundary'!B7,0)</f>
        <v/>
      </c>
      <c r="G7" s="19">
        <f>IF(AND(2&lt;='Boundary'!$F$10,OR('Boundary'!$F$5="Yes",2&lt;'Boundary'!$F$10)),('Boundary'!C7+INDEX('Boundary'!$C$6:$C$35,IF(2='Boundary'!$F$10,1,2+1)))/2,"")</f>
        <v/>
      </c>
      <c r="H7" s="19">
        <f>IF(AND(2&lt;='Boundary'!$F$10,OR('Boundary'!$F$5="Yes",2&lt;'Boundary'!$F$10)),('Boundary'!B7+INDEX('Boundary'!$B$6:$B$35,IF(2='Boundary'!$F$10,1,2+1)))/2,"")</f>
        <v/>
      </c>
      <c r="I7" s="19">
        <f>IF(AND(2&lt;='Boundary'!$F$10,OR('Boundary'!$F$5="Yes",2&lt;'Boundary'!$F$10)),G7-0.8*'Boundary'!$F$6*SIN(RADIANS(E7)),"")</f>
        <v/>
      </c>
      <c r="J7" s="19">
        <f>IF(AND(2&lt;='Boundary'!$F$10,OR('Boundary'!$F$5="Yes",2&lt;'Boundary'!$F$10)),H7+0.8*'Boundary'!$F$6*COS(RADIANS(E7)),"")</f>
        <v/>
      </c>
      <c r="K7" s="15">
        <f>IF(2&lt;='Boundary'!$F$10,K6&amp;" "&amp;SUBSTITUTE(ROUND('Boundary'!C7,3)&amp;"",",",".")&amp;","&amp;SUBSTITUTE(ROUND('Boundary'!B7,3)&amp;"",",","."),K6)</f>
        <v/>
      </c>
      <c r="L7" s="19">
        <f>IF(2&lt;='Boundary'!$F$10,('Boundary'!C7+INDEX('Boundary'!$C$6:$C$35,IF(2='Boundary'!$F$10,1,2+1)))*F7,0)</f>
        <v/>
      </c>
      <c r="M7" s="19">
        <f>IF(2&lt;='Boundary'!$F$10,('Boundary'!B7+INDEX('Boundary'!$B$6:$B$35,IF(2='Boundary'!$F$10,1,2+1)))*F7,0)</f>
        <v/>
      </c>
    </row>
    <row r="8">
      <c r="A8" s="15">
        <f>IF(3&lt;='Boundary'!$F$10,'Boundary'!A8,"")</f>
        <v/>
      </c>
      <c r="B8" s="19">
        <f>IF(AND(3&lt;='Boundary'!$F$10,OR('Boundary'!$F$5="Yes",3&lt;'Boundary'!$F$10)),SQRT((INDEX('Boundary'!$B$6:$B$35,IF(3='Boundary'!$F$10,1,3+1))-'Boundary'!B8)^2+(INDEX('Boundary'!$C$6:$C$35,IF(3='Boundary'!$F$10,1,3+1))-'Boundary'!C8)^2),"")</f>
        <v/>
      </c>
      <c r="C8" s="18">
        <f>IF(AND(3&lt;='Boundary'!$F$10,OR('Boundary'!$F$5="Yes",3&lt;'Boundary'!$F$10)),MOD(DEGREES(ATAN2((INDEX('Boundary'!$B$6:$B$35,IF(3='Boundary'!$F$10,1,3+1))-'Boundary'!B8),(INDEX('Boundary'!$C$6:$C$35,IF(3='Boundary'!$F$10,1,3+1))-'Boundary'!C8))),360),"")</f>
        <v/>
      </c>
      <c r="D8" s="15">
        <f>IF(AND(3&lt;='Boundary'!$F$10,OR('Boundary'!$F$5="Yes",3&lt;'Boundary'!$F$10)),INT(MOD(ROUND(MOD(C8,360)*3600,0),1296000)/3600)&amp;"°"&amp;TEXT(INT(MOD(MOD(ROUND(MOD(C8,360)*3600,0),1296000),3600)/60),"00")&amp;"'"&amp;TEXT(MOD(MOD(ROUND(MOD(C8,360)*3600,0),1296000),60),"00")&amp;"""","")</f>
        <v/>
      </c>
      <c r="E8" s="20">
        <f>IF(AND(3&lt;='Boundary'!$F$10,OR('Boundary'!$F$5="Yes",3&lt;'Boundary'!$F$10)),IF(AND(MOD(DEGREES(ATAN2((INDEX('Boundary'!$C$6:$C$35,IF(3='Boundary'!$F$10,1,3+1))-'Boundary'!C8),(INDEX('Boundary'!$B$6:$B$35,IF(3='Boundary'!$F$10,1,3+1))-'Boundary'!B8))),360)&gt;90,MOD(DEGREES(ATAN2((INDEX('Boundary'!$C$6:$C$35,IF(3='Boundary'!$F$10,1,3+1))-'Boundary'!C8),(INDEX('Boundary'!$B$6:$B$35,IF(3='Boundary'!$F$10,1,3+1))-'Boundary'!B8))),360)&lt;=270),MOD(DEGREES(ATAN2((INDEX('Boundary'!$C$6:$C$35,IF(3='Boundary'!$F$10,1,3+1))-'Boundary'!C8),(INDEX('Boundary'!$B$6:$B$35,IF(3='Boundary'!$F$10,1,3+1))-'Boundary'!B8))),360)-180,MOD(DEGREES(ATAN2((INDEX('Boundary'!$C$6:$C$35,IF(3='Boundary'!$F$10,1,3+1))-'Boundary'!C8),(INDEX('Boundary'!$B$6:$B$35,IF(3='Boundary'!$F$10,1,3+1))-'Boundary'!B8))),360)),"")</f>
        <v/>
      </c>
      <c r="F8" s="19">
        <f>IF(3&lt;='Boundary'!$F$10,'Boundary'!C8*INDEX('Boundary'!$B$6:$B$35,IF(3='Boundary'!$F$10,1,3+1))-INDEX('Boundary'!$C$6:$C$35,IF(3='Boundary'!$F$10,1,3+1))*'Boundary'!B8,0)</f>
        <v/>
      </c>
      <c r="G8" s="19">
        <f>IF(AND(3&lt;='Boundary'!$F$10,OR('Boundary'!$F$5="Yes",3&lt;'Boundary'!$F$10)),('Boundary'!C8+INDEX('Boundary'!$C$6:$C$35,IF(3='Boundary'!$F$10,1,3+1)))/2,"")</f>
        <v/>
      </c>
      <c r="H8" s="19">
        <f>IF(AND(3&lt;='Boundary'!$F$10,OR('Boundary'!$F$5="Yes",3&lt;'Boundary'!$F$10)),('Boundary'!B8+INDEX('Boundary'!$B$6:$B$35,IF(3='Boundary'!$F$10,1,3+1)))/2,"")</f>
        <v/>
      </c>
      <c r="I8" s="19">
        <f>IF(AND(3&lt;='Boundary'!$F$10,OR('Boundary'!$F$5="Yes",3&lt;'Boundary'!$F$10)),G8-0.8*'Boundary'!$F$6*SIN(RADIANS(E8)),"")</f>
        <v/>
      </c>
      <c r="J8" s="19">
        <f>IF(AND(3&lt;='Boundary'!$F$10,OR('Boundary'!$F$5="Yes",3&lt;'Boundary'!$F$10)),H8+0.8*'Boundary'!$F$6*COS(RADIANS(E8)),"")</f>
        <v/>
      </c>
      <c r="K8" s="15">
        <f>IF(3&lt;='Boundary'!$F$10,K7&amp;" "&amp;SUBSTITUTE(ROUND('Boundary'!C8,3)&amp;"",",",".")&amp;","&amp;SUBSTITUTE(ROUND('Boundary'!B8,3)&amp;"",",","."),K7)</f>
        <v/>
      </c>
      <c r="L8" s="19">
        <f>IF(3&lt;='Boundary'!$F$10,('Boundary'!C8+INDEX('Boundary'!$C$6:$C$35,IF(3='Boundary'!$F$10,1,3+1)))*F8,0)</f>
        <v/>
      </c>
      <c r="M8" s="19">
        <f>IF(3&lt;='Boundary'!$F$10,('Boundary'!B8+INDEX('Boundary'!$B$6:$B$35,IF(3='Boundary'!$F$10,1,3+1)))*F8,0)</f>
        <v/>
      </c>
    </row>
    <row r="9">
      <c r="A9" s="15">
        <f>IF(4&lt;='Boundary'!$F$10,'Boundary'!A9,"")</f>
        <v/>
      </c>
      <c r="B9" s="19">
        <f>IF(AND(4&lt;='Boundary'!$F$10,OR('Boundary'!$F$5="Yes",4&lt;'Boundary'!$F$10)),SQRT((INDEX('Boundary'!$B$6:$B$35,IF(4='Boundary'!$F$10,1,4+1))-'Boundary'!B9)^2+(INDEX('Boundary'!$C$6:$C$35,IF(4='Boundary'!$F$10,1,4+1))-'Boundary'!C9)^2),"")</f>
        <v/>
      </c>
      <c r="C9" s="18">
        <f>IF(AND(4&lt;='Boundary'!$F$10,OR('Boundary'!$F$5="Yes",4&lt;'Boundary'!$F$10)),MOD(DEGREES(ATAN2((INDEX('Boundary'!$B$6:$B$35,IF(4='Boundary'!$F$10,1,4+1))-'Boundary'!B9),(INDEX('Boundary'!$C$6:$C$35,IF(4='Boundary'!$F$10,1,4+1))-'Boundary'!C9))),360),"")</f>
        <v/>
      </c>
      <c r="D9" s="15">
        <f>IF(AND(4&lt;='Boundary'!$F$10,OR('Boundary'!$F$5="Yes",4&lt;'Boundary'!$F$10)),INT(MOD(ROUND(MOD(C9,360)*3600,0),1296000)/3600)&amp;"°"&amp;TEXT(INT(MOD(MOD(ROUND(MOD(C9,360)*3600,0),1296000),3600)/60),"00")&amp;"'"&amp;TEXT(MOD(MOD(ROUND(MOD(C9,360)*3600,0),1296000),60),"00")&amp;"""","")</f>
        <v/>
      </c>
      <c r="E9" s="20">
        <f>IF(AND(4&lt;='Boundary'!$F$10,OR('Boundary'!$F$5="Yes",4&lt;'Boundary'!$F$10)),IF(AND(MOD(DEGREES(ATAN2((INDEX('Boundary'!$C$6:$C$35,IF(4='Boundary'!$F$10,1,4+1))-'Boundary'!C9),(INDEX('Boundary'!$B$6:$B$35,IF(4='Boundary'!$F$10,1,4+1))-'Boundary'!B9))),360)&gt;90,MOD(DEGREES(ATAN2((INDEX('Boundary'!$C$6:$C$35,IF(4='Boundary'!$F$10,1,4+1))-'Boundary'!C9),(INDEX('Boundary'!$B$6:$B$35,IF(4='Boundary'!$F$10,1,4+1))-'Boundary'!B9))),360)&lt;=270),MOD(DEGREES(ATAN2((INDEX('Boundary'!$C$6:$C$35,IF(4='Boundary'!$F$10,1,4+1))-'Boundary'!C9),(INDEX('Boundary'!$B$6:$B$35,IF(4='Boundary'!$F$10,1,4+1))-'Boundary'!B9))),360)-180,MOD(DEGREES(ATAN2((INDEX('Boundary'!$C$6:$C$35,IF(4='Boundary'!$F$10,1,4+1))-'Boundary'!C9),(INDEX('Boundary'!$B$6:$B$35,IF(4='Boundary'!$F$10,1,4+1))-'Boundary'!B9))),360)),"")</f>
        <v/>
      </c>
      <c r="F9" s="19">
        <f>IF(4&lt;='Boundary'!$F$10,'Boundary'!C9*INDEX('Boundary'!$B$6:$B$35,IF(4='Boundary'!$F$10,1,4+1))-INDEX('Boundary'!$C$6:$C$35,IF(4='Boundary'!$F$10,1,4+1))*'Boundary'!B9,0)</f>
        <v/>
      </c>
      <c r="G9" s="19">
        <f>IF(AND(4&lt;='Boundary'!$F$10,OR('Boundary'!$F$5="Yes",4&lt;'Boundary'!$F$10)),('Boundary'!C9+INDEX('Boundary'!$C$6:$C$35,IF(4='Boundary'!$F$10,1,4+1)))/2,"")</f>
        <v/>
      </c>
      <c r="H9" s="19">
        <f>IF(AND(4&lt;='Boundary'!$F$10,OR('Boundary'!$F$5="Yes",4&lt;'Boundary'!$F$10)),('Boundary'!B9+INDEX('Boundary'!$B$6:$B$35,IF(4='Boundary'!$F$10,1,4+1)))/2,"")</f>
        <v/>
      </c>
      <c r="I9" s="19">
        <f>IF(AND(4&lt;='Boundary'!$F$10,OR('Boundary'!$F$5="Yes",4&lt;'Boundary'!$F$10)),G9-0.8*'Boundary'!$F$6*SIN(RADIANS(E9)),"")</f>
        <v/>
      </c>
      <c r="J9" s="19">
        <f>IF(AND(4&lt;='Boundary'!$F$10,OR('Boundary'!$F$5="Yes",4&lt;'Boundary'!$F$10)),H9+0.8*'Boundary'!$F$6*COS(RADIANS(E9)),"")</f>
        <v/>
      </c>
      <c r="K9" s="15">
        <f>IF(4&lt;='Boundary'!$F$10,K8&amp;" "&amp;SUBSTITUTE(ROUND('Boundary'!C9,3)&amp;"",",",".")&amp;","&amp;SUBSTITUTE(ROUND('Boundary'!B9,3)&amp;"",",","."),K8)</f>
        <v/>
      </c>
      <c r="L9" s="19">
        <f>IF(4&lt;='Boundary'!$F$10,('Boundary'!C9+INDEX('Boundary'!$C$6:$C$35,IF(4='Boundary'!$F$10,1,4+1)))*F9,0)</f>
        <v/>
      </c>
      <c r="M9" s="19">
        <f>IF(4&lt;='Boundary'!$F$10,('Boundary'!B9+INDEX('Boundary'!$B$6:$B$35,IF(4='Boundary'!$F$10,1,4+1)))*F9,0)</f>
        <v/>
      </c>
    </row>
    <row r="10">
      <c r="A10" s="15">
        <f>IF(5&lt;='Boundary'!$F$10,'Boundary'!A10,"")</f>
        <v/>
      </c>
      <c r="B10" s="19">
        <f>IF(AND(5&lt;='Boundary'!$F$10,OR('Boundary'!$F$5="Yes",5&lt;'Boundary'!$F$10)),SQRT((INDEX('Boundary'!$B$6:$B$35,IF(5='Boundary'!$F$10,1,5+1))-'Boundary'!B10)^2+(INDEX('Boundary'!$C$6:$C$35,IF(5='Boundary'!$F$10,1,5+1))-'Boundary'!C10)^2),"")</f>
        <v/>
      </c>
      <c r="C10" s="18">
        <f>IF(AND(5&lt;='Boundary'!$F$10,OR('Boundary'!$F$5="Yes",5&lt;'Boundary'!$F$10)),MOD(DEGREES(ATAN2((INDEX('Boundary'!$B$6:$B$35,IF(5='Boundary'!$F$10,1,5+1))-'Boundary'!B10),(INDEX('Boundary'!$C$6:$C$35,IF(5='Boundary'!$F$10,1,5+1))-'Boundary'!C10))),360),"")</f>
        <v/>
      </c>
      <c r="D10" s="15">
        <f>IF(AND(5&lt;='Boundary'!$F$10,OR('Boundary'!$F$5="Yes",5&lt;'Boundary'!$F$10)),INT(MOD(ROUND(MOD(C10,360)*3600,0),1296000)/3600)&amp;"°"&amp;TEXT(INT(MOD(MOD(ROUND(MOD(C10,360)*3600,0),1296000),3600)/60),"00")&amp;"'"&amp;TEXT(MOD(MOD(ROUND(MOD(C10,360)*3600,0),1296000),60),"00")&amp;"""","")</f>
        <v/>
      </c>
      <c r="E10" s="20">
        <f>IF(AND(5&lt;='Boundary'!$F$10,OR('Boundary'!$F$5="Yes",5&lt;'Boundary'!$F$10)),IF(AND(MOD(DEGREES(ATAN2((INDEX('Boundary'!$C$6:$C$35,IF(5='Boundary'!$F$10,1,5+1))-'Boundary'!C10),(INDEX('Boundary'!$B$6:$B$35,IF(5='Boundary'!$F$10,1,5+1))-'Boundary'!B10))),360)&gt;90,MOD(DEGREES(ATAN2((INDEX('Boundary'!$C$6:$C$35,IF(5='Boundary'!$F$10,1,5+1))-'Boundary'!C10),(INDEX('Boundary'!$B$6:$B$35,IF(5='Boundary'!$F$10,1,5+1))-'Boundary'!B10))),360)&lt;=270),MOD(DEGREES(ATAN2((INDEX('Boundary'!$C$6:$C$35,IF(5='Boundary'!$F$10,1,5+1))-'Boundary'!C10),(INDEX('Boundary'!$B$6:$B$35,IF(5='Boundary'!$F$10,1,5+1))-'Boundary'!B10))),360)-180,MOD(DEGREES(ATAN2((INDEX('Boundary'!$C$6:$C$35,IF(5='Boundary'!$F$10,1,5+1))-'Boundary'!C10),(INDEX('Boundary'!$B$6:$B$35,IF(5='Boundary'!$F$10,1,5+1))-'Boundary'!B10))),360)),"")</f>
        <v/>
      </c>
      <c r="F10" s="19">
        <f>IF(5&lt;='Boundary'!$F$10,'Boundary'!C10*INDEX('Boundary'!$B$6:$B$35,IF(5='Boundary'!$F$10,1,5+1))-INDEX('Boundary'!$C$6:$C$35,IF(5='Boundary'!$F$10,1,5+1))*'Boundary'!B10,0)</f>
        <v/>
      </c>
      <c r="G10" s="19">
        <f>IF(AND(5&lt;='Boundary'!$F$10,OR('Boundary'!$F$5="Yes",5&lt;'Boundary'!$F$10)),('Boundary'!C10+INDEX('Boundary'!$C$6:$C$35,IF(5='Boundary'!$F$10,1,5+1)))/2,"")</f>
        <v/>
      </c>
      <c r="H10" s="19">
        <f>IF(AND(5&lt;='Boundary'!$F$10,OR('Boundary'!$F$5="Yes",5&lt;'Boundary'!$F$10)),('Boundary'!B10+INDEX('Boundary'!$B$6:$B$35,IF(5='Boundary'!$F$10,1,5+1)))/2,"")</f>
        <v/>
      </c>
      <c r="I10" s="19">
        <f>IF(AND(5&lt;='Boundary'!$F$10,OR('Boundary'!$F$5="Yes",5&lt;'Boundary'!$F$10)),G10-0.8*'Boundary'!$F$6*SIN(RADIANS(E10)),"")</f>
        <v/>
      </c>
      <c r="J10" s="19">
        <f>IF(AND(5&lt;='Boundary'!$F$10,OR('Boundary'!$F$5="Yes",5&lt;'Boundary'!$F$10)),H10+0.8*'Boundary'!$F$6*COS(RADIANS(E10)),"")</f>
        <v/>
      </c>
      <c r="K10" s="15">
        <f>IF(5&lt;='Boundary'!$F$10,K9&amp;" "&amp;SUBSTITUTE(ROUND('Boundary'!C10,3)&amp;"",",",".")&amp;","&amp;SUBSTITUTE(ROUND('Boundary'!B10,3)&amp;"",",","."),K9)</f>
        <v/>
      </c>
      <c r="L10" s="19">
        <f>IF(5&lt;='Boundary'!$F$10,('Boundary'!C10+INDEX('Boundary'!$C$6:$C$35,IF(5='Boundary'!$F$10,1,5+1)))*F10,0)</f>
        <v/>
      </c>
      <c r="M10" s="19">
        <f>IF(5&lt;='Boundary'!$F$10,('Boundary'!B10+INDEX('Boundary'!$B$6:$B$35,IF(5='Boundary'!$F$10,1,5+1)))*F10,0)</f>
        <v/>
      </c>
    </row>
    <row r="11">
      <c r="A11" s="15">
        <f>IF(6&lt;='Boundary'!$F$10,'Boundary'!A11,"")</f>
        <v/>
      </c>
      <c r="B11" s="19">
        <f>IF(AND(6&lt;='Boundary'!$F$10,OR('Boundary'!$F$5="Yes",6&lt;'Boundary'!$F$10)),SQRT((INDEX('Boundary'!$B$6:$B$35,IF(6='Boundary'!$F$10,1,6+1))-'Boundary'!B11)^2+(INDEX('Boundary'!$C$6:$C$35,IF(6='Boundary'!$F$10,1,6+1))-'Boundary'!C11)^2),"")</f>
        <v/>
      </c>
      <c r="C11" s="18">
        <f>IF(AND(6&lt;='Boundary'!$F$10,OR('Boundary'!$F$5="Yes",6&lt;'Boundary'!$F$10)),MOD(DEGREES(ATAN2((INDEX('Boundary'!$B$6:$B$35,IF(6='Boundary'!$F$10,1,6+1))-'Boundary'!B11),(INDEX('Boundary'!$C$6:$C$35,IF(6='Boundary'!$F$10,1,6+1))-'Boundary'!C11))),360),"")</f>
        <v/>
      </c>
      <c r="D11" s="15">
        <f>IF(AND(6&lt;='Boundary'!$F$10,OR('Boundary'!$F$5="Yes",6&lt;'Boundary'!$F$10)),INT(MOD(ROUND(MOD(C11,360)*3600,0),1296000)/3600)&amp;"°"&amp;TEXT(INT(MOD(MOD(ROUND(MOD(C11,360)*3600,0),1296000),3600)/60),"00")&amp;"'"&amp;TEXT(MOD(MOD(ROUND(MOD(C11,360)*3600,0),1296000),60),"00")&amp;"""","")</f>
        <v/>
      </c>
      <c r="E11" s="20">
        <f>IF(AND(6&lt;='Boundary'!$F$10,OR('Boundary'!$F$5="Yes",6&lt;'Boundary'!$F$10)),IF(AND(MOD(DEGREES(ATAN2((INDEX('Boundary'!$C$6:$C$35,IF(6='Boundary'!$F$10,1,6+1))-'Boundary'!C11),(INDEX('Boundary'!$B$6:$B$35,IF(6='Boundary'!$F$10,1,6+1))-'Boundary'!B11))),360)&gt;90,MOD(DEGREES(ATAN2((INDEX('Boundary'!$C$6:$C$35,IF(6='Boundary'!$F$10,1,6+1))-'Boundary'!C11),(INDEX('Boundary'!$B$6:$B$35,IF(6='Boundary'!$F$10,1,6+1))-'Boundary'!B11))),360)&lt;=270),MOD(DEGREES(ATAN2((INDEX('Boundary'!$C$6:$C$35,IF(6='Boundary'!$F$10,1,6+1))-'Boundary'!C11),(INDEX('Boundary'!$B$6:$B$35,IF(6='Boundary'!$F$10,1,6+1))-'Boundary'!B11))),360)-180,MOD(DEGREES(ATAN2((INDEX('Boundary'!$C$6:$C$35,IF(6='Boundary'!$F$10,1,6+1))-'Boundary'!C11),(INDEX('Boundary'!$B$6:$B$35,IF(6='Boundary'!$F$10,1,6+1))-'Boundary'!B11))),360)),"")</f>
        <v/>
      </c>
      <c r="F11" s="19">
        <f>IF(6&lt;='Boundary'!$F$10,'Boundary'!C11*INDEX('Boundary'!$B$6:$B$35,IF(6='Boundary'!$F$10,1,6+1))-INDEX('Boundary'!$C$6:$C$35,IF(6='Boundary'!$F$10,1,6+1))*'Boundary'!B11,0)</f>
        <v/>
      </c>
      <c r="G11" s="19">
        <f>IF(AND(6&lt;='Boundary'!$F$10,OR('Boundary'!$F$5="Yes",6&lt;'Boundary'!$F$10)),('Boundary'!C11+INDEX('Boundary'!$C$6:$C$35,IF(6='Boundary'!$F$10,1,6+1)))/2,"")</f>
        <v/>
      </c>
      <c r="H11" s="19">
        <f>IF(AND(6&lt;='Boundary'!$F$10,OR('Boundary'!$F$5="Yes",6&lt;'Boundary'!$F$10)),('Boundary'!B11+INDEX('Boundary'!$B$6:$B$35,IF(6='Boundary'!$F$10,1,6+1)))/2,"")</f>
        <v/>
      </c>
      <c r="I11" s="19">
        <f>IF(AND(6&lt;='Boundary'!$F$10,OR('Boundary'!$F$5="Yes",6&lt;'Boundary'!$F$10)),G11-0.8*'Boundary'!$F$6*SIN(RADIANS(E11)),"")</f>
        <v/>
      </c>
      <c r="J11" s="19">
        <f>IF(AND(6&lt;='Boundary'!$F$10,OR('Boundary'!$F$5="Yes",6&lt;'Boundary'!$F$10)),H11+0.8*'Boundary'!$F$6*COS(RADIANS(E11)),"")</f>
        <v/>
      </c>
      <c r="K11" s="15">
        <f>IF(6&lt;='Boundary'!$F$10,K10&amp;" "&amp;SUBSTITUTE(ROUND('Boundary'!C11,3)&amp;"",",",".")&amp;","&amp;SUBSTITUTE(ROUND('Boundary'!B11,3)&amp;"",",","."),K10)</f>
        <v/>
      </c>
      <c r="L11" s="19">
        <f>IF(6&lt;='Boundary'!$F$10,('Boundary'!C11+INDEX('Boundary'!$C$6:$C$35,IF(6='Boundary'!$F$10,1,6+1)))*F11,0)</f>
        <v/>
      </c>
      <c r="M11" s="19">
        <f>IF(6&lt;='Boundary'!$F$10,('Boundary'!B11+INDEX('Boundary'!$B$6:$B$35,IF(6='Boundary'!$F$10,1,6+1)))*F11,0)</f>
        <v/>
      </c>
    </row>
    <row r="12">
      <c r="A12" s="15">
        <f>IF(7&lt;='Boundary'!$F$10,'Boundary'!A12,"")</f>
        <v/>
      </c>
      <c r="B12" s="19">
        <f>IF(AND(7&lt;='Boundary'!$F$10,OR('Boundary'!$F$5="Yes",7&lt;'Boundary'!$F$10)),SQRT((INDEX('Boundary'!$B$6:$B$35,IF(7='Boundary'!$F$10,1,7+1))-'Boundary'!B12)^2+(INDEX('Boundary'!$C$6:$C$35,IF(7='Boundary'!$F$10,1,7+1))-'Boundary'!C12)^2),"")</f>
        <v/>
      </c>
      <c r="C12" s="18">
        <f>IF(AND(7&lt;='Boundary'!$F$10,OR('Boundary'!$F$5="Yes",7&lt;'Boundary'!$F$10)),MOD(DEGREES(ATAN2((INDEX('Boundary'!$B$6:$B$35,IF(7='Boundary'!$F$10,1,7+1))-'Boundary'!B12),(INDEX('Boundary'!$C$6:$C$35,IF(7='Boundary'!$F$10,1,7+1))-'Boundary'!C12))),360),"")</f>
        <v/>
      </c>
      <c r="D12" s="15">
        <f>IF(AND(7&lt;='Boundary'!$F$10,OR('Boundary'!$F$5="Yes",7&lt;'Boundary'!$F$10)),INT(MOD(ROUND(MOD(C12,360)*3600,0),1296000)/3600)&amp;"°"&amp;TEXT(INT(MOD(MOD(ROUND(MOD(C12,360)*3600,0),1296000),3600)/60),"00")&amp;"'"&amp;TEXT(MOD(MOD(ROUND(MOD(C12,360)*3600,0),1296000),60),"00")&amp;"""","")</f>
        <v/>
      </c>
      <c r="E12" s="20">
        <f>IF(AND(7&lt;='Boundary'!$F$10,OR('Boundary'!$F$5="Yes",7&lt;'Boundary'!$F$10)),IF(AND(MOD(DEGREES(ATAN2((INDEX('Boundary'!$C$6:$C$35,IF(7='Boundary'!$F$10,1,7+1))-'Boundary'!C12),(INDEX('Boundary'!$B$6:$B$35,IF(7='Boundary'!$F$10,1,7+1))-'Boundary'!B12))),360)&gt;90,MOD(DEGREES(ATAN2((INDEX('Boundary'!$C$6:$C$35,IF(7='Boundary'!$F$10,1,7+1))-'Boundary'!C12),(INDEX('Boundary'!$B$6:$B$35,IF(7='Boundary'!$F$10,1,7+1))-'Boundary'!B12))),360)&lt;=270),MOD(DEGREES(ATAN2((INDEX('Boundary'!$C$6:$C$35,IF(7='Boundary'!$F$10,1,7+1))-'Boundary'!C12),(INDEX('Boundary'!$B$6:$B$35,IF(7='Boundary'!$F$10,1,7+1))-'Boundary'!B12))),360)-180,MOD(DEGREES(ATAN2((INDEX('Boundary'!$C$6:$C$35,IF(7='Boundary'!$F$10,1,7+1))-'Boundary'!C12),(INDEX('Boundary'!$B$6:$B$35,IF(7='Boundary'!$F$10,1,7+1))-'Boundary'!B12))),360)),"")</f>
        <v/>
      </c>
      <c r="F12" s="19">
        <f>IF(7&lt;='Boundary'!$F$10,'Boundary'!C12*INDEX('Boundary'!$B$6:$B$35,IF(7='Boundary'!$F$10,1,7+1))-INDEX('Boundary'!$C$6:$C$35,IF(7='Boundary'!$F$10,1,7+1))*'Boundary'!B12,0)</f>
        <v/>
      </c>
      <c r="G12" s="19">
        <f>IF(AND(7&lt;='Boundary'!$F$10,OR('Boundary'!$F$5="Yes",7&lt;'Boundary'!$F$10)),('Boundary'!C12+INDEX('Boundary'!$C$6:$C$35,IF(7='Boundary'!$F$10,1,7+1)))/2,"")</f>
        <v/>
      </c>
      <c r="H12" s="19">
        <f>IF(AND(7&lt;='Boundary'!$F$10,OR('Boundary'!$F$5="Yes",7&lt;'Boundary'!$F$10)),('Boundary'!B12+INDEX('Boundary'!$B$6:$B$35,IF(7='Boundary'!$F$10,1,7+1)))/2,"")</f>
        <v/>
      </c>
      <c r="I12" s="19">
        <f>IF(AND(7&lt;='Boundary'!$F$10,OR('Boundary'!$F$5="Yes",7&lt;'Boundary'!$F$10)),G12-0.8*'Boundary'!$F$6*SIN(RADIANS(E12)),"")</f>
        <v/>
      </c>
      <c r="J12" s="19">
        <f>IF(AND(7&lt;='Boundary'!$F$10,OR('Boundary'!$F$5="Yes",7&lt;'Boundary'!$F$10)),H12+0.8*'Boundary'!$F$6*COS(RADIANS(E12)),"")</f>
        <v/>
      </c>
      <c r="K12" s="15">
        <f>IF(7&lt;='Boundary'!$F$10,K11&amp;" "&amp;SUBSTITUTE(ROUND('Boundary'!C12,3)&amp;"",",",".")&amp;","&amp;SUBSTITUTE(ROUND('Boundary'!B12,3)&amp;"",",","."),K11)</f>
        <v/>
      </c>
      <c r="L12" s="19">
        <f>IF(7&lt;='Boundary'!$F$10,('Boundary'!C12+INDEX('Boundary'!$C$6:$C$35,IF(7='Boundary'!$F$10,1,7+1)))*F12,0)</f>
        <v/>
      </c>
      <c r="M12" s="19">
        <f>IF(7&lt;='Boundary'!$F$10,('Boundary'!B12+INDEX('Boundary'!$B$6:$B$35,IF(7='Boundary'!$F$10,1,7+1)))*F12,0)</f>
        <v/>
      </c>
    </row>
    <row r="13">
      <c r="A13" s="15">
        <f>IF(8&lt;='Boundary'!$F$10,'Boundary'!A13,"")</f>
        <v/>
      </c>
      <c r="B13" s="19">
        <f>IF(AND(8&lt;='Boundary'!$F$10,OR('Boundary'!$F$5="Yes",8&lt;'Boundary'!$F$10)),SQRT((INDEX('Boundary'!$B$6:$B$35,IF(8='Boundary'!$F$10,1,8+1))-'Boundary'!B13)^2+(INDEX('Boundary'!$C$6:$C$35,IF(8='Boundary'!$F$10,1,8+1))-'Boundary'!C13)^2),"")</f>
        <v/>
      </c>
      <c r="C13" s="18">
        <f>IF(AND(8&lt;='Boundary'!$F$10,OR('Boundary'!$F$5="Yes",8&lt;'Boundary'!$F$10)),MOD(DEGREES(ATAN2((INDEX('Boundary'!$B$6:$B$35,IF(8='Boundary'!$F$10,1,8+1))-'Boundary'!B13),(INDEX('Boundary'!$C$6:$C$35,IF(8='Boundary'!$F$10,1,8+1))-'Boundary'!C13))),360),"")</f>
        <v/>
      </c>
      <c r="D13" s="15">
        <f>IF(AND(8&lt;='Boundary'!$F$10,OR('Boundary'!$F$5="Yes",8&lt;'Boundary'!$F$10)),INT(MOD(ROUND(MOD(C13,360)*3600,0),1296000)/3600)&amp;"°"&amp;TEXT(INT(MOD(MOD(ROUND(MOD(C13,360)*3600,0),1296000),3600)/60),"00")&amp;"'"&amp;TEXT(MOD(MOD(ROUND(MOD(C13,360)*3600,0),1296000),60),"00")&amp;"""","")</f>
        <v/>
      </c>
      <c r="E13" s="20">
        <f>IF(AND(8&lt;='Boundary'!$F$10,OR('Boundary'!$F$5="Yes",8&lt;'Boundary'!$F$10)),IF(AND(MOD(DEGREES(ATAN2((INDEX('Boundary'!$C$6:$C$35,IF(8='Boundary'!$F$10,1,8+1))-'Boundary'!C13),(INDEX('Boundary'!$B$6:$B$35,IF(8='Boundary'!$F$10,1,8+1))-'Boundary'!B13))),360)&gt;90,MOD(DEGREES(ATAN2((INDEX('Boundary'!$C$6:$C$35,IF(8='Boundary'!$F$10,1,8+1))-'Boundary'!C13),(INDEX('Boundary'!$B$6:$B$35,IF(8='Boundary'!$F$10,1,8+1))-'Boundary'!B13))),360)&lt;=270),MOD(DEGREES(ATAN2((INDEX('Boundary'!$C$6:$C$35,IF(8='Boundary'!$F$10,1,8+1))-'Boundary'!C13),(INDEX('Boundary'!$B$6:$B$35,IF(8='Boundary'!$F$10,1,8+1))-'Boundary'!B13))),360)-180,MOD(DEGREES(ATAN2((INDEX('Boundary'!$C$6:$C$35,IF(8='Boundary'!$F$10,1,8+1))-'Boundary'!C13),(INDEX('Boundary'!$B$6:$B$35,IF(8='Boundary'!$F$10,1,8+1))-'Boundary'!B13))),360)),"")</f>
        <v/>
      </c>
      <c r="F13" s="19">
        <f>IF(8&lt;='Boundary'!$F$10,'Boundary'!C13*INDEX('Boundary'!$B$6:$B$35,IF(8='Boundary'!$F$10,1,8+1))-INDEX('Boundary'!$C$6:$C$35,IF(8='Boundary'!$F$10,1,8+1))*'Boundary'!B13,0)</f>
        <v/>
      </c>
      <c r="G13" s="19">
        <f>IF(AND(8&lt;='Boundary'!$F$10,OR('Boundary'!$F$5="Yes",8&lt;'Boundary'!$F$10)),('Boundary'!C13+INDEX('Boundary'!$C$6:$C$35,IF(8='Boundary'!$F$10,1,8+1)))/2,"")</f>
        <v/>
      </c>
      <c r="H13" s="19">
        <f>IF(AND(8&lt;='Boundary'!$F$10,OR('Boundary'!$F$5="Yes",8&lt;'Boundary'!$F$10)),('Boundary'!B13+INDEX('Boundary'!$B$6:$B$35,IF(8='Boundary'!$F$10,1,8+1)))/2,"")</f>
        <v/>
      </c>
      <c r="I13" s="19">
        <f>IF(AND(8&lt;='Boundary'!$F$10,OR('Boundary'!$F$5="Yes",8&lt;'Boundary'!$F$10)),G13-0.8*'Boundary'!$F$6*SIN(RADIANS(E13)),"")</f>
        <v/>
      </c>
      <c r="J13" s="19">
        <f>IF(AND(8&lt;='Boundary'!$F$10,OR('Boundary'!$F$5="Yes",8&lt;'Boundary'!$F$10)),H13+0.8*'Boundary'!$F$6*COS(RADIANS(E13)),"")</f>
        <v/>
      </c>
      <c r="K13" s="15">
        <f>IF(8&lt;='Boundary'!$F$10,K12&amp;" "&amp;SUBSTITUTE(ROUND('Boundary'!C13,3)&amp;"",",",".")&amp;","&amp;SUBSTITUTE(ROUND('Boundary'!B13,3)&amp;"",",","."),K12)</f>
        <v/>
      </c>
      <c r="L13" s="19">
        <f>IF(8&lt;='Boundary'!$F$10,('Boundary'!C13+INDEX('Boundary'!$C$6:$C$35,IF(8='Boundary'!$F$10,1,8+1)))*F13,0)</f>
        <v/>
      </c>
      <c r="M13" s="19">
        <f>IF(8&lt;='Boundary'!$F$10,('Boundary'!B13+INDEX('Boundary'!$B$6:$B$35,IF(8='Boundary'!$F$10,1,8+1)))*F13,0)</f>
        <v/>
      </c>
    </row>
    <row r="14">
      <c r="A14" s="15">
        <f>IF(9&lt;='Boundary'!$F$10,'Boundary'!A14,"")</f>
        <v/>
      </c>
      <c r="B14" s="19">
        <f>IF(AND(9&lt;='Boundary'!$F$10,OR('Boundary'!$F$5="Yes",9&lt;'Boundary'!$F$10)),SQRT((INDEX('Boundary'!$B$6:$B$35,IF(9='Boundary'!$F$10,1,9+1))-'Boundary'!B14)^2+(INDEX('Boundary'!$C$6:$C$35,IF(9='Boundary'!$F$10,1,9+1))-'Boundary'!C14)^2),"")</f>
        <v/>
      </c>
      <c r="C14" s="18">
        <f>IF(AND(9&lt;='Boundary'!$F$10,OR('Boundary'!$F$5="Yes",9&lt;'Boundary'!$F$10)),MOD(DEGREES(ATAN2((INDEX('Boundary'!$B$6:$B$35,IF(9='Boundary'!$F$10,1,9+1))-'Boundary'!B14),(INDEX('Boundary'!$C$6:$C$35,IF(9='Boundary'!$F$10,1,9+1))-'Boundary'!C14))),360),"")</f>
        <v/>
      </c>
      <c r="D14" s="15">
        <f>IF(AND(9&lt;='Boundary'!$F$10,OR('Boundary'!$F$5="Yes",9&lt;'Boundary'!$F$10)),INT(MOD(ROUND(MOD(C14,360)*3600,0),1296000)/3600)&amp;"°"&amp;TEXT(INT(MOD(MOD(ROUND(MOD(C14,360)*3600,0),1296000),3600)/60),"00")&amp;"'"&amp;TEXT(MOD(MOD(ROUND(MOD(C14,360)*3600,0),1296000),60),"00")&amp;"""","")</f>
        <v/>
      </c>
      <c r="E14" s="20">
        <f>IF(AND(9&lt;='Boundary'!$F$10,OR('Boundary'!$F$5="Yes",9&lt;'Boundary'!$F$10)),IF(AND(MOD(DEGREES(ATAN2((INDEX('Boundary'!$C$6:$C$35,IF(9='Boundary'!$F$10,1,9+1))-'Boundary'!C14),(INDEX('Boundary'!$B$6:$B$35,IF(9='Boundary'!$F$10,1,9+1))-'Boundary'!B14))),360)&gt;90,MOD(DEGREES(ATAN2((INDEX('Boundary'!$C$6:$C$35,IF(9='Boundary'!$F$10,1,9+1))-'Boundary'!C14),(INDEX('Boundary'!$B$6:$B$35,IF(9='Boundary'!$F$10,1,9+1))-'Boundary'!B14))),360)&lt;=270),MOD(DEGREES(ATAN2((INDEX('Boundary'!$C$6:$C$35,IF(9='Boundary'!$F$10,1,9+1))-'Boundary'!C14),(INDEX('Boundary'!$B$6:$B$35,IF(9='Boundary'!$F$10,1,9+1))-'Boundary'!B14))),360)-180,MOD(DEGREES(ATAN2((INDEX('Boundary'!$C$6:$C$35,IF(9='Boundary'!$F$10,1,9+1))-'Boundary'!C14),(INDEX('Boundary'!$B$6:$B$35,IF(9='Boundary'!$F$10,1,9+1))-'Boundary'!B14))),360)),"")</f>
        <v/>
      </c>
      <c r="F14" s="19">
        <f>IF(9&lt;='Boundary'!$F$10,'Boundary'!C14*INDEX('Boundary'!$B$6:$B$35,IF(9='Boundary'!$F$10,1,9+1))-INDEX('Boundary'!$C$6:$C$35,IF(9='Boundary'!$F$10,1,9+1))*'Boundary'!B14,0)</f>
        <v/>
      </c>
      <c r="G14" s="19">
        <f>IF(AND(9&lt;='Boundary'!$F$10,OR('Boundary'!$F$5="Yes",9&lt;'Boundary'!$F$10)),('Boundary'!C14+INDEX('Boundary'!$C$6:$C$35,IF(9='Boundary'!$F$10,1,9+1)))/2,"")</f>
        <v/>
      </c>
      <c r="H14" s="19">
        <f>IF(AND(9&lt;='Boundary'!$F$10,OR('Boundary'!$F$5="Yes",9&lt;'Boundary'!$F$10)),('Boundary'!B14+INDEX('Boundary'!$B$6:$B$35,IF(9='Boundary'!$F$10,1,9+1)))/2,"")</f>
        <v/>
      </c>
      <c r="I14" s="19">
        <f>IF(AND(9&lt;='Boundary'!$F$10,OR('Boundary'!$F$5="Yes",9&lt;'Boundary'!$F$10)),G14-0.8*'Boundary'!$F$6*SIN(RADIANS(E14)),"")</f>
        <v/>
      </c>
      <c r="J14" s="19">
        <f>IF(AND(9&lt;='Boundary'!$F$10,OR('Boundary'!$F$5="Yes",9&lt;'Boundary'!$F$10)),H14+0.8*'Boundary'!$F$6*COS(RADIANS(E14)),"")</f>
        <v/>
      </c>
      <c r="K14" s="15">
        <f>IF(9&lt;='Boundary'!$F$10,K13&amp;" "&amp;SUBSTITUTE(ROUND('Boundary'!C14,3)&amp;"",",",".")&amp;","&amp;SUBSTITUTE(ROUND('Boundary'!B14,3)&amp;"",",","."),K13)</f>
        <v/>
      </c>
      <c r="L14" s="19">
        <f>IF(9&lt;='Boundary'!$F$10,('Boundary'!C14+INDEX('Boundary'!$C$6:$C$35,IF(9='Boundary'!$F$10,1,9+1)))*F14,0)</f>
        <v/>
      </c>
      <c r="M14" s="19">
        <f>IF(9&lt;='Boundary'!$F$10,('Boundary'!B14+INDEX('Boundary'!$B$6:$B$35,IF(9='Boundary'!$F$10,1,9+1)))*F14,0)</f>
        <v/>
      </c>
    </row>
    <row r="15">
      <c r="A15" s="15">
        <f>IF(10&lt;='Boundary'!$F$10,'Boundary'!A15,"")</f>
        <v/>
      </c>
      <c r="B15" s="19">
        <f>IF(AND(10&lt;='Boundary'!$F$10,OR('Boundary'!$F$5="Yes",10&lt;'Boundary'!$F$10)),SQRT((INDEX('Boundary'!$B$6:$B$35,IF(10='Boundary'!$F$10,1,10+1))-'Boundary'!B15)^2+(INDEX('Boundary'!$C$6:$C$35,IF(10='Boundary'!$F$10,1,10+1))-'Boundary'!C15)^2),"")</f>
        <v/>
      </c>
      <c r="C15" s="18">
        <f>IF(AND(10&lt;='Boundary'!$F$10,OR('Boundary'!$F$5="Yes",10&lt;'Boundary'!$F$10)),MOD(DEGREES(ATAN2((INDEX('Boundary'!$B$6:$B$35,IF(10='Boundary'!$F$10,1,10+1))-'Boundary'!B15),(INDEX('Boundary'!$C$6:$C$35,IF(10='Boundary'!$F$10,1,10+1))-'Boundary'!C15))),360),"")</f>
        <v/>
      </c>
      <c r="D15" s="15">
        <f>IF(AND(10&lt;='Boundary'!$F$10,OR('Boundary'!$F$5="Yes",10&lt;'Boundary'!$F$10)),INT(MOD(ROUND(MOD(C15,360)*3600,0),1296000)/3600)&amp;"°"&amp;TEXT(INT(MOD(MOD(ROUND(MOD(C15,360)*3600,0),1296000),3600)/60),"00")&amp;"'"&amp;TEXT(MOD(MOD(ROUND(MOD(C15,360)*3600,0),1296000),60),"00")&amp;"""","")</f>
        <v/>
      </c>
      <c r="E15" s="20">
        <f>IF(AND(10&lt;='Boundary'!$F$10,OR('Boundary'!$F$5="Yes",10&lt;'Boundary'!$F$10)),IF(AND(MOD(DEGREES(ATAN2((INDEX('Boundary'!$C$6:$C$35,IF(10='Boundary'!$F$10,1,10+1))-'Boundary'!C15),(INDEX('Boundary'!$B$6:$B$35,IF(10='Boundary'!$F$10,1,10+1))-'Boundary'!B15))),360)&gt;90,MOD(DEGREES(ATAN2((INDEX('Boundary'!$C$6:$C$35,IF(10='Boundary'!$F$10,1,10+1))-'Boundary'!C15),(INDEX('Boundary'!$B$6:$B$35,IF(10='Boundary'!$F$10,1,10+1))-'Boundary'!B15))),360)&lt;=270),MOD(DEGREES(ATAN2((INDEX('Boundary'!$C$6:$C$35,IF(10='Boundary'!$F$10,1,10+1))-'Boundary'!C15),(INDEX('Boundary'!$B$6:$B$35,IF(10='Boundary'!$F$10,1,10+1))-'Boundary'!B15))),360)-180,MOD(DEGREES(ATAN2((INDEX('Boundary'!$C$6:$C$35,IF(10='Boundary'!$F$10,1,10+1))-'Boundary'!C15),(INDEX('Boundary'!$B$6:$B$35,IF(10='Boundary'!$F$10,1,10+1))-'Boundary'!B15))),360)),"")</f>
        <v/>
      </c>
      <c r="F15" s="19">
        <f>IF(10&lt;='Boundary'!$F$10,'Boundary'!C15*INDEX('Boundary'!$B$6:$B$35,IF(10='Boundary'!$F$10,1,10+1))-INDEX('Boundary'!$C$6:$C$35,IF(10='Boundary'!$F$10,1,10+1))*'Boundary'!B15,0)</f>
        <v/>
      </c>
      <c r="G15" s="19">
        <f>IF(AND(10&lt;='Boundary'!$F$10,OR('Boundary'!$F$5="Yes",10&lt;'Boundary'!$F$10)),('Boundary'!C15+INDEX('Boundary'!$C$6:$C$35,IF(10='Boundary'!$F$10,1,10+1)))/2,"")</f>
        <v/>
      </c>
      <c r="H15" s="19">
        <f>IF(AND(10&lt;='Boundary'!$F$10,OR('Boundary'!$F$5="Yes",10&lt;'Boundary'!$F$10)),('Boundary'!B15+INDEX('Boundary'!$B$6:$B$35,IF(10='Boundary'!$F$10,1,10+1)))/2,"")</f>
        <v/>
      </c>
      <c r="I15" s="19">
        <f>IF(AND(10&lt;='Boundary'!$F$10,OR('Boundary'!$F$5="Yes",10&lt;'Boundary'!$F$10)),G15-0.8*'Boundary'!$F$6*SIN(RADIANS(E15)),"")</f>
        <v/>
      </c>
      <c r="J15" s="19">
        <f>IF(AND(10&lt;='Boundary'!$F$10,OR('Boundary'!$F$5="Yes",10&lt;'Boundary'!$F$10)),H15+0.8*'Boundary'!$F$6*COS(RADIANS(E15)),"")</f>
        <v/>
      </c>
      <c r="K15" s="15">
        <f>IF(10&lt;='Boundary'!$F$10,K14&amp;" "&amp;SUBSTITUTE(ROUND('Boundary'!C15,3)&amp;"",",",".")&amp;","&amp;SUBSTITUTE(ROUND('Boundary'!B15,3)&amp;"",",","."),K14)</f>
        <v/>
      </c>
      <c r="L15" s="19">
        <f>IF(10&lt;='Boundary'!$F$10,('Boundary'!C15+INDEX('Boundary'!$C$6:$C$35,IF(10='Boundary'!$F$10,1,10+1)))*F15,0)</f>
        <v/>
      </c>
      <c r="M15" s="19">
        <f>IF(10&lt;='Boundary'!$F$10,('Boundary'!B15+INDEX('Boundary'!$B$6:$B$35,IF(10='Boundary'!$F$10,1,10+1)))*F15,0)</f>
        <v/>
      </c>
    </row>
    <row r="16">
      <c r="A16" s="15">
        <f>IF(11&lt;='Boundary'!$F$10,'Boundary'!A16,"")</f>
        <v/>
      </c>
      <c r="B16" s="19">
        <f>IF(AND(11&lt;='Boundary'!$F$10,OR('Boundary'!$F$5="Yes",11&lt;'Boundary'!$F$10)),SQRT((INDEX('Boundary'!$B$6:$B$35,IF(11='Boundary'!$F$10,1,11+1))-'Boundary'!B16)^2+(INDEX('Boundary'!$C$6:$C$35,IF(11='Boundary'!$F$10,1,11+1))-'Boundary'!C16)^2),"")</f>
        <v/>
      </c>
      <c r="C16" s="18">
        <f>IF(AND(11&lt;='Boundary'!$F$10,OR('Boundary'!$F$5="Yes",11&lt;'Boundary'!$F$10)),MOD(DEGREES(ATAN2((INDEX('Boundary'!$B$6:$B$35,IF(11='Boundary'!$F$10,1,11+1))-'Boundary'!B16),(INDEX('Boundary'!$C$6:$C$35,IF(11='Boundary'!$F$10,1,11+1))-'Boundary'!C16))),360),"")</f>
        <v/>
      </c>
      <c r="D16" s="15">
        <f>IF(AND(11&lt;='Boundary'!$F$10,OR('Boundary'!$F$5="Yes",11&lt;'Boundary'!$F$10)),INT(MOD(ROUND(MOD(C16,360)*3600,0),1296000)/3600)&amp;"°"&amp;TEXT(INT(MOD(MOD(ROUND(MOD(C16,360)*3600,0),1296000),3600)/60),"00")&amp;"'"&amp;TEXT(MOD(MOD(ROUND(MOD(C16,360)*3600,0),1296000),60),"00")&amp;"""","")</f>
        <v/>
      </c>
      <c r="E16" s="20">
        <f>IF(AND(11&lt;='Boundary'!$F$10,OR('Boundary'!$F$5="Yes",11&lt;'Boundary'!$F$10)),IF(AND(MOD(DEGREES(ATAN2((INDEX('Boundary'!$C$6:$C$35,IF(11='Boundary'!$F$10,1,11+1))-'Boundary'!C16),(INDEX('Boundary'!$B$6:$B$35,IF(11='Boundary'!$F$10,1,11+1))-'Boundary'!B16))),360)&gt;90,MOD(DEGREES(ATAN2((INDEX('Boundary'!$C$6:$C$35,IF(11='Boundary'!$F$10,1,11+1))-'Boundary'!C16),(INDEX('Boundary'!$B$6:$B$35,IF(11='Boundary'!$F$10,1,11+1))-'Boundary'!B16))),360)&lt;=270),MOD(DEGREES(ATAN2((INDEX('Boundary'!$C$6:$C$35,IF(11='Boundary'!$F$10,1,11+1))-'Boundary'!C16),(INDEX('Boundary'!$B$6:$B$35,IF(11='Boundary'!$F$10,1,11+1))-'Boundary'!B16))),360)-180,MOD(DEGREES(ATAN2((INDEX('Boundary'!$C$6:$C$35,IF(11='Boundary'!$F$10,1,11+1))-'Boundary'!C16),(INDEX('Boundary'!$B$6:$B$35,IF(11='Boundary'!$F$10,1,11+1))-'Boundary'!B16))),360)),"")</f>
        <v/>
      </c>
      <c r="F16" s="19">
        <f>IF(11&lt;='Boundary'!$F$10,'Boundary'!C16*INDEX('Boundary'!$B$6:$B$35,IF(11='Boundary'!$F$10,1,11+1))-INDEX('Boundary'!$C$6:$C$35,IF(11='Boundary'!$F$10,1,11+1))*'Boundary'!B16,0)</f>
        <v/>
      </c>
      <c r="G16" s="19">
        <f>IF(AND(11&lt;='Boundary'!$F$10,OR('Boundary'!$F$5="Yes",11&lt;'Boundary'!$F$10)),('Boundary'!C16+INDEX('Boundary'!$C$6:$C$35,IF(11='Boundary'!$F$10,1,11+1)))/2,"")</f>
        <v/>
      </c>
      <c r="H16" s="19">
        <f>IF(AND(11&lt;='Boundary'!$F$10,OR('Boundary'!$F$5="Yes",11&lt;'Boundary'!$F$10)),('Boundary'!B16+INDEX('Boundary'!$B$6:$B$35,IF(11='Boundary'!$F$10,1,11+1)))/2,"")</f>
        <v/>
      </c>
      <c r="I16" s="19">
        <f>IF(AND(11&lt;='Boundary'!$F$10,OR('Boundary'!$F$5="Yes",11&lt;'Boundary'!$F$10)),G16-0.8*'Boundary'!$F$6*SIN(RADIANS(E16)),"")</f>
        <v/>
      </c>
      <c r="J16" s="19">
        <f>IF(AND(11&lt;='Boundary'!$F$10,OR('Boundary'!$F$5="Yes",11&lt;'Boundary'!$F$10)),H16+0.8*'Boundary'!$F$6*COS(RADIANS(E16)),"")</f>
        <v/>
      </c>
      <c r="K16" s="15">
        <f>IF(11&lt;='Boundary'!$F$10,K15&amp;" "&amp;SUBSTITUTE(ROUND('Boundary'!C16,3)&amp;"",",",".")&amp;","&amp;SUBSTITUTE(ROUND('Boundary'!B16,3)&amp;"",",","."),K15)</f>
        <v/>
      </c>
      <c r="L16" s="19">
        <f>IF(11&lt;='Boundary'!$F$10,('Boundary'!C16+INDEX('Boundary'!$C$6:$C$35,IF(11='Boundary'!$F$10,1,11+1)))*F16,0)</f>
        <v/>
      </c>
      <c r="M16" s="19">
        <f>IF(11&lt;='Boundary'!$F$10,('Boundary'!B16+INDEX('Boundary'!$B$6:$B$35,IF(11='Boundary'!$F$10,1,11+1)))*F16,0)</f>
        <v/>
      </c>
    </row>
    <row r="17">
      <c r="A17" s="15">
        <f>IF(12&lt;='Boundary'!$F$10,'Boundary'!A17,"")</f>
        <v/>
      </c>
      <c r="B17" s="19">
        <f>IF(AND(12&lt;='Boundary'!$F$10,OR('Boundary'!$F$5="Yes",12&lt;'Boundary'!$F$10)),SQRT((INDEX('Boundary'!$B$6:$B$35,IF(12='Boundary'!$F$10,1,12+1))-'Boundary'!B17)^2+(INDEX('Boundary'!$C$6:$C$35,IF(12='Boundary'!$F$10,1,12+1))-'Boundary'!C17)^2),"")</f>
        <v/>
      </c>
      <c r="C17" s="18">
        <f>IF(AND(12&lt;='Boundary'!$F$10,OR('Boundary'!$F$5="Yes",12&lt;'Boundary'!$F$10)),MOD(DEGREES(ATAN2((INDEX('Boundary'!$B$6:$B$35,IF(12='Boundary'!$F$10,1,12+1))-'Boundary'!B17),(INDEX('Boundary'!$C$6:$C$35,IF(12='Boundary'!$F$10,1,12+1))-'Boundary'!C17))),360),"")</f>
        <v/>
      </c>
      <c r="D17" s="15">
        <f>IF(AND(12&lt;='Boundary'!$F$10,OR('Boundary'!$F$5="Yes",12&lt;'Boundary'!$F$10)),INT(MOD(ROUND(MOD(C17,360)*3600,0),1296000)/3600)&amp;"°"&amp;TEXT(INT(MOD(MOD(ROUND(MOD(C17,360)*3600,0),1296000),3600)/60),"00")&amp;"'"&amp;TEXT(MOD(MOD(ROUND(MOD(C17,360)*3600,0),1296000),60),"00")&amp;"""","")</f>
        <v/>
      </c>
      <c r="E17" s="20">
        <f>IF(AND(12&lt;='Boundary'!$F$10,OR('Boundary'!$F$5="Yes",12&lt;'Boundary'!$F$10)),IF(AND(MOD(DEGREES(ATAN2((INDEX('Boundary'!$C$6:$C$35,IF(12='Boundary'!$F$10,1,12+1))-'Boundary'!C17),(INDEX('Boundary'!$B$6:$B$35,IF(12='Boundary'!$F$10,1,12+1))-'Boundary'!B17))),360)&gt;90,MOD(DEGREES(ATAN2((INDEX('Boundary'!$C$6:$C$35,IF(12='Boundary'!$F$10,1,12+1))-'Boundary'!C17),(INDEX('Boundary'!$B$6:$B$35,IF(12='Boundary'!$F$10,1,12+1))-'Boundary'!B17))),360)&lt;=270),MOD(DEGREES(ATAN2((INDEX('Boundary'!$C$6:$C$35,IF(12='Boundary'!$F$10,1,12+1))-'Boundary'!C17),(INDEX('Boundary'!$B$6:$B$35,IF(12='Boundary'!$F$10,1,12+1))-'Boundary'!B17))),360)-180,MOD(DEGREES(ATAN2((INDEX('Boundary'!$C$6:$C$35,IF(12='Boundary'!$F$10,1,12+1))-'Boundary'!C17),(INDEX('Boundary'!$B$6:$B$35,IF(12='Boundary'!$F$10,1,12+1))-'Boundary'!B17))),360)),"")</f>
        <v/>
      </c>
      <c r="F17" s="19">
        <f>IF(12&lt;='Boundary'!$F$10,'Boundary'!C17*INDEX('Boundary'!$B$6:$B$35,IF(12='Boundary'!$F$10,1,12+1))-INDEX('Boundary'!$C$6:$C$35,IF(12='Boundary'!$F$10,1,12+1))*'Boundary'!B17,0)</f>
        <v/>
      </c>
      <c r="G17" s="19">
        <f>IF(AND(12&lt;='Boundary'!$F$10,OR('Boundary'!$F$5="Yes",12&lt;'Boundary'!$F$10)),('Boundary'!C17+INDEX('Boundary'!$C$6:$C$35,IF(12='Boundary'!$F$10,1,12+1)))/2,"")</f>
        <v/>
      </c>
      <c r="H17" s="19">
        <f>IF(AND(12&lt;='Boundary'!$F$10,OR('Boundary'!$F$5="Yes",12&lt;'Boundary'!$F$10)),('Boundary'!B17+INDEX('Boundary'!$B$6:$B$35,IF(12='Boundary'!$F$10,1,12+1)))/2,"")</f>
        <v/>
      </c>
      <c r="I17" s="19">
        <f>IF(AND(12&lt;='Boundary'!$F$10,OR('Boundary'!$F$5="Yes",12&lt;'Boundary'!$F$10)),G17-0.8*'Boundary'!$F$6*SIN(RADIANS(E17)),"")</f>
        <v/>
      </c>
      <c r="J17" s="19">
        <f>IF(AND(12&lt;='Boundary'!$F$10,OR('Boundary'!$F$5="Yes",12&lt;'Boundary'!$F$10)),H17+0.8*'Boundary'!$F$6*COS(RADIANS(E17)),"")</f>
        <v/>
      </c>
      <c r="K17" s="15">
        <f>IF(12&lt;='Boundary'!$F$10,K16&amp;" "&amp;SUBSTITUTE(ROUND('Boundary'!C17,3)&amp;"",",",".")&amp;","&amp;SUBSTITUTE(ROUND('Boundary'!B17,3)&amp;"",",","."),K16)</f>
        <v/>
      </c>
      <c r="L17" s="19">
        <f>IF(12&lt;='Boundary'!$F$10,('Boundary'!C17+INDEX('Boundary'!$C$6:$C$35,IF(12='Boundary'!$F$10,1,12+1)))*F17,0)</f>
        <v/>
      </c>
      <c r="M17" s="19">
        <f>IF(12&lt;='Boundary'!$F$10,('Boundary'!B17+INDEX('Boundary'!$B$6:$B$35,IF(12='Boundary'!$F$10,1,12+1)))*F17,0)</f>
        <v/>
      </c>
    </row>
    <row r="18">
      <c r="A18" s="15">
        <f>IF(13&lt;='Boundary'!$F$10,'Boundary'!A18,"")</f>
        <v/>
      </c>
      <c r="B18" s="19">
        <f>IF(AND(13&lt;='Boundary'!$F$10,OR('Boundary'!$F$5="Yes",13&lt;'Boundary'!$F$10)),SQRT((INDEX('Boundary'!$B$6:$B$35,IF(13='Boundary'!$F$10,1,13+1))-'Boundary'!B18)^2+(INDEX('Boundary'!$C$6:$C$35,IF(13='Boundary'!$F$10,1,13+1))-'Boundary'!C18)^2),"")</f>
        <v/>
      </c>
      <c r="C18" s="18">
        <f>IF(AND(13&lt;='Boundary'!$F$10,OR('Boundary'!$F$5="Yes",13&lt;'Boundary'!$F$10)),MOD(DEGREES(ATAN2((INDEX('Boundary'!$B$6:$B$35,IF(13='Boundary'!$F$10,1,13+1))-'Boundary'!B18),(INDEX('Boundary'!$C$6:$C$35,IF(13='Boundary'!$F$10,1,13+1))-'Boundary'!C18))),360),"")</f>
        <v/>
      </c>
      <c r="D18" s="15">
        <f>IF(AND(13&lt;='Boundary'!$F$10,OR('Boundary'!$F$5="Yes",13&lt;'Boundary'!$F$10)),INT(MOD(ROUND(MOD(C18,360)*3600,0),1296000)/3600)&amp;"°"&amp;TEXT(INT(MOD(MOD(ROUND(MOD(C18,360)*3600,0),1296000),3600)/60),"00")&amp;"'"&amp;TEXT(MOD(MOD(ROUND(MOD(C18,360)*3600,0),1296000),60),"00")&amp;"""","")</f>
        <v/>
      </c>
      <c r="E18" s="20">
        <f>IF(AND(13&lt;='Boundary'!$F$10,OR('Boundary'!$F$5="Yes",13&lt;'Boundary'!$F$10)),IF(AND(MOD(DEGREES(ATAN2((INDEX('Boundary'!$C$6:$C$35,IF(13='Boundary'!$F$10,1,13+1))-'Boundary'!C18),(INDEX('Boundary'!$B$6:$B$35,IF(13='Boundary'!$F$10,1,13+1))-'Boundary'!B18))),360)&gt;90,MOD(DEGREES(ATAN2((INDEX('Boundary'!$C$6:$C$35,IF(13='Boundary'!$F$10,1,13+1))-'Boundary'!C18),(INDEX('Boundary'!$B$6:$B$35,IF(13='Boundary'!$F$10,1,13+1))-'Boundary'!B18))),360)&lt;=270),MOD(DEGREES(ATAN2((INDEX('Boundary'!$C$6:$C$35,IF(13='Boundary'!$F$10,1,13+1))-'Boundary'!C18),(INDEX('Boundary'!$B$6:$B$35,IF(13='Boundary'!$F$10,1,13+1))-'Boundary'!B18))),360)-180,MOD(DEGREES(ATAN2((INDEX('Boundary'!$C$6:$C$35,IF(13='Boundary'!$F$10,1,13+1))-'Boundary'!C18),(INDEX('Boundary'!$B$6:$B$35,IF(13='Boundary'!$F$10,1,13+1))-'Boundary'!B18))),360)),"")</f>
        <v/>
      </c>
      <c r="F18" s="19">
        <f>IF(13&lt;='Boundary'!$F$10,'Boundary'!C18*INDEX('Boundary'!$B$6:$B$35,IF(13='Boundary'!$F$10,1,13+1))-INDEX('Boundary'!$C$6:$C$35,IF(13='Boundary'!$F$10,1,13+1))*'Boundary'!B18,0)</f>
        <v/>
      </c>
      <c r="G18" s="19">
        <f>IF(AND(13&lt;='Boundary'!$F$10,OR('Boundary'!$F$5="Yes",13&lt;'Boundary'!$F$10)),('Boundary'!C18+INDEX('Boundary'!$C$6:$C$35,IF(13='Boundary'!$F$10,1,13+1)))/2,"")</f>
        <v/>
      </c>
      <c r="H18" s="19">
        <f>IF(AND(13&lt;='Boundary'!$F$10,OR('Boundary'!$F$5="Yes",13&lt;'Boundary'!$F$10)),('Boundary'!B18+INDEX('Boundary'!$B$6:$B$35,IF(13='Boundary'!$F$10,1,13+1)))/2,"")</f>
        <v/>
      </c>
      <c r="I18" s="19">
        <f>IF(AND(13&lt;='Boundary'!$F$10,OR('Boundary'!$F$5="Yes",13&lt;'Boundary'!$F$10)),G18-0.8*'Boundary'!$F$6*SIN(RADIANS(E18)),"")</f>
        <v/>
      </c>
      <c r="J18" s="19">
        <f>IF(AND(13&lt;='Boundary'!$F$10,OR('Boundary'!$F$5="Yes",13&lt;'Boundary'!$F$10)),H18+0.8*'Boundary'!$F$6*COS(RADIANS(E18)),"")</f>
        <v/>
      </c>
      <c r="K18" s="15">
        <f>IF(13&lt;='Boundary'!$F$10,K17&amp;" "&amp;SUBSTITUTE(ROUND('Boundary'!C18,3)&amp;"",",",".")&amp;","&amp;SUBSTITUTE(ROUND('Boundary'!B18,3)&amp;"",",","."),K17)</f>
        <v/>
      </c>
      <c r="L18" s="19">
        <f>IF(13&lt;='Boundary'!$F$10,('Boundary'!C18+INDEX('Boundary'!$C$6:$C$35,IF(13='Boundary'!$F$10,1,13+1)))*F18,0)</f>
        <v/>
      </c>
      <c r="M18" s="19">
        <f>IF(13&lt;='Boundary'!$F$10,('Boundary'!B18+INDEX('Boundary'!$B$6:$B$35,IF(13='Boundary'!$F$10,1,13+1)))*F18,0)</f>
        <v/>
      </c>
    </row>
    <row r="19">
      <c r="A19" s="15">
        <f>IF(14&lt;='Boundary'!$F$10,'Boundary'!A19,"")</f>
        <v/>
      </c>
      <c r="B19" s="19">
        <f>IF(AND(14&lt;='Boundary'!$F$10,OR('Boundary'!$F$5="Yes",14&lt;'Boundary'!$F$10)),SQRT((INDEX('Boundary'!$B$6:$B$35,IF(14='Boundary'!$F$10,1,14+1))-'Boundary'!B19)^2+(INDEX('Boundary'!$C$6:$C$35,IF(14='Boundary'!$F$10,1,14+1))-'Boundary'!C19)^2),"")</f>
        <v/>
      </c>
      <c r="C19" s="18">
        <f>IF(AND(14&lt;='Boundary'!$F$10,OR('Boundary'!$F$5="Yes",14&lt;'Boundary'!$F$10)),MOD(DEGREES(ATAN2((INDEX('Boundary'!$B$6:$B$35,IF(14='Boundary'!$F$10,1,14+1))-'Boundary'!B19),(INDEX('Boundary'!$C$6:$C$35,IF(14='Boundary'!$F$10,1,14+1))-'Boundary'!C19))),360),"")</f>
        <v/>
      </c>
      <c r="D19" s="15">
        <f>IF(AND(14&lt;='Boundary'!$F$10,OR('Boundary'!$F$5="Yes",14&lt;'Boundary'!$F$10)),INT(MOD(ROUND(MOD(C19,360)*3600,0),1296000)/3600)&amp;"°"&amp;TEXT(INT(MOD(MOD(ROUND(MOD(C19,360)*3600,0),1296000),3600)/60),"00")&amp;"'"&amp;TEXT(MOD(MOD(ROUND(MOD(C19,360)*3600,0),1296000),60),"00")&amp;"""","")</f>
        <v/>
      </c>
      <c r="E19" s="20">
        <f>IF(AND(14&lt;='Boundary'!$F$10,OR('Boundary'!$F$5="Yes",14&lt;'Boundary'!$F$10)),IF(AND(MOD(DEGREES(ATAN2((INDEX('Boundary'!$C$6:$C$35,IF(14='Boundary'!$F$10,1,14+1))-'Boundary'!C19),(INDEX('Boundary'!$B$6:$B$35,IF(14='Boundary'!$F$10,1,14+1))-'Boundary'!B19))),360)&gt;90,MOD(DEGREES(ATAN2((INDEX('Boundary'!$C$6:$C$35,IF(14='Boundary'!$F$10,1,14+1))-'Boundary'!C19),(INDEX('Boundary'!$B$6:$B$35,IF(14='Boundary'!$F$10,1,14+1))-'Boundary'!B19))),360)&lt;=270),MOD(DEGREES(ATAN2((INDEX('Boundary'!$C$6:$C$35,IF(14='Boundary'!$F$10,1,14+1))-'Boundary'!C19),(INDEX('Boundary'!$B$6:$B$35,IF(14='Boundary'!$F$10,1,14+1))-'Boundary'!B19))),360)-180,MOD(DEGREES(ATAN2((INDEX('Boundary'!$C$6:$C$35,IF(14='Boundary'!$F$10,1,14+1))-'Boundary'!C19),(INDEX('Boundary'!$B$6:$B$35,IF(14='Boundary'!$F$10,1,14+1))-'Boundary'!B19))),360)),"")</f>
        <v/>
      </c>
      <c r="F19" s="19">
        <f>IF(14&lt;='Boundary'!$F$10,'Boundary'!C19*INDEX('Boundary'!$B$6:$B$35,IF(14='Boundary'!$F$10,1,14+1))-INDEX('Boundary'!$C$6:$C$35,IF(14='Boundary'!$F$10,1,14+1))*'Boundary'!B19,0)</f>
        <v/>
      </c>
      <c r="G19" s="19">
        <f>IF(AND(14&lt;='Boundary'!$F$10,OR('Boundary'!$F$5="Yes",14&lt;'Boundary'!$F$10)),('Boundary'!C19+INDEX('Boundary'!$C$6:$C$35,IF(14='Boundary'!$F$10,1,14+1)))/2,"")</f>
        <v/>
      </c>
      <c r="H19" s="19">
        <f>IF(AND(14&lt;='Boundary'!$F$10,OR('Boundary'!$F$5="Yes",14&lt;'Boundary'!$F$10)),('Boundary'!B19+INDEX('Boundary'!$B$6:$B$35,IF(14='Boundary'!$F$10,1,14+1)))/2,"")</f>
        <v/>
      </c>
      <c r="I19" s="19">
        <f>IF(AND(14&lt;='Boundary'!$F$10,OR('Boundary'!$F$5="Yes",14&lt;'Boundary'!$F$10)),G19-0.8*'Boundary'!$F$6*SIN(RADIANS(E19)),"")</f>
        <v/>
      </c>
      <c r="J19" s="19">
        <f>IF(AND(14&lt;='Boundary'!$F$10,OR('Boundary'!$F$5="Yes",14&lt;'Boundary'!$F$10)),H19+0.8*'Boundary'!$F$6*COS(RADIANS(E19)),"")</f>
        <v/>
      </c>
      <c r="K19" s="15">
        <f>IF(14&lt;='Boundary'!$F$10,K18&amp;" "&amp;SUBSTITUTE(ROUND('Boundary'!C19,3)&amp;"",",",".")&amp;","&amp;SUBSTITUTE(ROUND('Boundary'!B19,3)&amp;"",",","."),K18)</f>
        <v/>
      </c>
      <c r="L19" s="19">
        <f>IF(14&lt;='Boundary'!$F$10,('Boundary'!C19+INDEX('Boundary'!$C$6:$C$35,IF(14='Boundary'!$F$10,1,14+1)))*F19,0)</f>
        <v/>
      </c>
      <c r="M19" s="19">
        <f>IF(14&lt;='Boundary'!$F$10,('Boundary'!B19+INDEX('Boundary'!$B$6:$B$35,IF(14='Boundary'!$F$10,1,14+1)))*F19,0)</f>
        <v/>
      </c>
    </row>
    <row r="20">
      <c r="A20" s="15">
        <f>IF(15&lt;='Boundary'!$F$10,'Boundary'!A20,"")</f>
        <v/>
      </c>
      <c r="B20" s="19">
        <f>IF(AND(15&lt;='Boundary'!$F$10,OR('Boundary'!$F$5="Yes",15&lt;'Boundary'!$F$10)),SQRT((INDEX('Boundary'!$B$6:$B$35,IF(15='Boundary'!$F$10,1,15+1))-'Boundary'!B20)^2+(INDEX('Boundary'!$C$6:$C$35,IF(15='Boundary'!$F$10,1,15+1))-'Boundary'!C20)^2),"")</f>
        <v/>
      </c>
      <c r="C20" s="18">
        <f>IF(AND(15&lt;='Boundary'!$F$10,OR('Boundary'!$F$5="Yes",15&lt;'Boundary'!$F$10)),MOD(DEGREES(ATAN2((INDEX('Boundary'!$B$6:$B$35,IF(15='Boundary'!$F$10,1,15+1))-'Boundary'!B20),(INDEX('Boundary'!$C$6:$C$35,IF(15='Boundary'!$F$10,1,15+1))-'Boundary'!C20))),360),"")</f>
        <v/>
      </c>
      <c r="D20" s="15">
        <f>IF(AND(15&lt;='Boundary'!$F$10,OR('Boundary'!$F$5="Yes",15&lt;'Boundary'!$F$10)),INT(MOD(ROUND(MOD(C20,360)*3600,0),1296000)/3600)&amp;"°"&amp;TEXT(INT(MOD(MOD(ROUND(MOD(C20,360)*3600,0),1296000),3600)/60),"00")&amp;"'"&amp;TEXT(MOD(MOD(ROUND(MOD(C20,360)*3600,0),1296000),60),"00")&amp;"""","")</f>
        <v/>
      </c>
      <c r="E20" s="20">
        <f>IF(AND(15&lt;='Boundary'!$F$10,OR('Boundary'!$F$5="Yes",15&lt;'Boundary'!$F$10)),IF(AND(MOD(DEGREES(ATAN2((INDEX('Boundary'!$C$6:$C$35,IF(15='Boundary'!$F$10,1,15+1))-'Boundary'!C20),(INDEX('Boundary'!$B$6:$B$35,IF(15='Boundary'!$F$10,1,15+1))-'Boundary'!B20))),360)&gt;90,MOD(DEGREES(ATAN2((INDEX('Boundary'!$C$6:$C$35,IF(15='Boundary'!$F$10,1,15+1))-'Boundary'!C20),(INDEX('Boundary'!$B$6:$B$35,IF(15='Boundary'!$F$10,1,15+1))-'Boundary'!B20))),360)&lt;=270),MOD(DEGREES(ATAN2((INDEX('Boundary'!$C$6:$C$35,IF(15='Boundary'!$F$10,1,15+1))-'Boundary'!C20),(INDEX('Boundary'!$B$6:$B$35,IF(15='Boundary'!$F$10,1,15+1))-'Boundary'!B20))),360)-180,MOD(DEGREES(ATAN2((INDEX('Boundary'!$C$6:$C$35,IF(15='Boundary'!$F$10,1,15+1))-'Boundary'!C20),(INDEX('Boundary'!$B$6:$B$35,IF(15='Boundary'!$F$10,1,15+1))-'Boundary'!B20))),360)),"")</f>
        <v/>
      </c>
      <c r="F20" s="19">
        <f>IF(15&lt;='Boundary'!$F$10,'Boundary'!C20*INDEX('Boundary'!$B$6:$B$35,IF(15='Boundary'!$F$10,1,15+1))-INDEX('Boundary'!$C$6:$C$35,IF(15='Boundary'!$F$10,1,15+1))*'Boundary'!B20,0)</f>
        <v/>
      </c>
      <c r="G20" s="19">
        <f>IF(AND(15&lt;='Boundary'!$F$10,OR('Boundary'!$F$5="Yes",15&lt;'Boundary'!$F$10)),('Boundary'!C20+INDEX('Boundary'!$C$6:$C$35,IF(15='Boundary'!$F$10,1,15+1)))/2,"")</f>
        <v/>
      </c>
      <c r="H20" s="19">
        <f>IF(AND(15&lt;='Boundary'!$F$10,OR('Boundary'!$F$5="Yes",15&lt;'Boundary'!$F$10)),('Boundary'!B20+INDEX('Boundary'!$B$6:$B$35,IF(15='Boundary'!$F$10,1,15+1)))/2,"")</f>
        <v/>
      </c>
      <c r="I20" s="19">
        <f>IF(AND(15&lt;='Boundary'!$F$10,OR('Boundary'!$F$5="Yes",15&lt;'Boundary'!$F$10)),G20-0.8*'Boundary'!$F$6*SIN(RADIANS(E20)),"")</f>
        <v/>
      </c>
      <c r="J20" s="19">
        <f>IF(AND(15&lt;='Boundary'!$F$10,OR('Boundary'!$F$5="Yes",15&lt;'Boundary'!$F$10)),H20+0.8*'Boundary'!$F$6*COS(RADIANS(E20)),"")</f>
        <v/>
      </c>
      <c r="K20" s="15">
        <f>IF(15&lt;='Boundary'!$F$10,K19&amp;" "&amp;SUBSTITUTE(ROUND('Boundary'!C20,3)&amp;"",",",".")&amp;","&amp;SUBSTITUTE(ROUND('Boundary'!B20,3)&amp;"",",","."),K19)</f>
        <v/>
      </c>
      <c r="L20" s="19">
        <f>IF(15&lt;='Boundary'!$F$10,('Boundary'!C20+INDEX('Boundary'!$C$6:$C$35,IF(15='Boundary'!$F$10,1,15+1)))*F20,0)</f>
        <v/>
      </c>
      <c r="M20" s="19">
        <f>IF(15&lt;='Boundary'!$F$10,('Boundary'!B20+INDEX('Boundary'!$B$6:$B$35,IF(15='Boundary'!$F$10,1,15+1)))*F20,0)</f>
        <v/>
      </c>
    </row>
    <row r="21">
      <c r="A21" s="15">
        <f>IF(16&lt;='Boundary'!$F$10,'Boundary'!A21,"")</f>
        <v/>
      </c>
      <c r="B21" s="19">
        <f>IF(AND(16&lt;='Boundary'!$F$10,OR('Boundary'!$F$5="Yes",16&lt;'Boundary'!$F$10)),SQRT((INDEX('Boundary'!$B$6:$B$35,IF(16='Boundary'!$F$10,1,16+1))-'Boundary'!B21)^2+(INDEX('Boundary'!$C$6:$C$35,IF(16='Boundary'!$F$10,1,16+1))-'Boundary'!C21)^2),"")</f>
        <v/>
      </c>
      <c r="C21" s="18">
        <f>IF(AND(16&lt;='Boundary'!$F$10,OR('Boundary'!$F$5="Yes",16&lt;'Boundary'!$F$10)),MOD(DEGREES(ATAN2((INDEX('Boundary'!$B$6:$B$35,IF(16='Boundary'!$F$10,1,16+1))-'Boundary'!B21),(INDEX('Boundary'!$C$6:$C$35,IF(16='Boundary'!$F$10,1,16+1))-'Boundary'!C21))),360),"")</f>
        <v/>
      </c>
      <c r="D21" s="15">
        <f>IF(AND(16&lt;='Boundary'!$F$10,OR('Boundary'!$F$5="Yes",16&lt;'Boundary'!$F$10)),INT(MOD(ROUND(MOD(C21,360)*3600,0),1296000)/3600)&amp;"°"&amp;TEXT(INT(MOD(MOD(ROUND(MOD(C21,360)*3600,0),1296000),3600)/60),"00")&amp;"'"&amp;TEXT(MOD(MOD(ROUND(MOD(C21,360)*3600,0),1296000),60),"00")&amp;"""","")</f>
        <v/>
      </c>
      <c r="E21" s="20">
        <f>IF(AND(16&lt;='Boundary'!$F$10,OR('Boundary'!$F$5="Yes",16&lt;'Boundary'!$F$10)),IF(AND(MOD(DEGREES(ATAN2((INDEX('Boundary'!$C$6:$C$35,IF(16='Boundary'!$F$10,1,16+1))-'Boundary'!C21),(INDEX('Boundary'!$B$6:$B$35,IF(16='Boundary'!$F$10,1,16+1))-'Boundary'!B21))),360)&gt;90,MOD(DEGREES(ATAN2((INDEX('Boundary'!$C$6:$C$35,IF(16='Boundary'!$F$10,1,16+1))-'Boundary'!C21),(INDEX('Boundary'!$B$6:$B$35,IF(16='Boundary'!$F$10,1,16+1))-'Boundary'!B21))),360)&lt;=270),MOD(DEGREES(ATAN2((INDEX('Boundary'!$C$6:$C$35,IF(16='Boundary'!$F$10,1,16+1))-'Boundary'!C21),(INDEX('Boundary'!$B$6:$B$35,IF(16='Boundary'!$F$10,1,16+1))-'Boundary'!B21))),360)-180,MOD(DEGREES(ATAN2((INDEX('Boundary'!$C$6:$C$35,IF(16='Boundary'!$F$10,1,16+1))-'Boundary'!C21),(INDEX('Boundary'!$B$6:$B$35,IF(16='Boundary'!$F$10,1,16+1))-'Boundary'!B21))),360)),"")</f>
        <v/>
      </c>
      <c r="F21" s="19">
        <f>IF(16&lt;='Boundary'!$F$10,'Boundary'!C21*INDEX('Boundary'!$B$6:$B$35,IF(16='Boundary'!$F$10,1,16+1))-INDEX('Boundary'!$C$6:$C$35,IF(16='Boundary'!$F$10,1,16+1))*'Boundary'!B21,0)</f>
        <v/>
      </c>
      <c r="G21" s="19">
        <f>IF(AND(16&lt;='Boundary'!$F$10,OR('Boundary'!$F$5="Yes",16&lt;'Boundary'!$F$10)),('Boundary'!C21+INDEX('Boundary'!$C$6:$C$35,IF(16='Boundary'!$F$10,1,16+1)))/2,"")</f>
        <v/>
      </c>
      <c r="H21" s="19">
        <f>IF(AND(16&lt;='Boundary'!$F$10,OR('Boundary'!$F$5="Yes",16&lt;'Boundary'!$F$10)),('Boundary'!B21+INDEX('Boundary'!$B$6:$B$35,IF(16='Boundary'!$F$10,1,16+1)))/2,"")</f>
        <v/>
      </c>
      <c r="I21" s="19">
        <f>IF(AND(16&lt;='Boundary'!$F$10,OR('Boundary'!$F$5="Yes",16&lt;'Boundary'!$F$10)),G21-0.8*'Boundary'!$F$6*SIN(RADIANS(E21)),"")</f>
        <v/>
      </c>
      <c r="J21" s="19">
        <f>IF(AND(16&lt;='Boundary'!$F$10,OR('Boundary'!$F$5="Yes",16&lt;'Boundary'!$F$10)),H21+0.8*'Boundary'!$F$6*COS(RADIANS(E21)),"")</f>
        <v/>
      </c>
      <c r="K21" s="15">
        <f>IF(16&lt;='Boundary'!$F$10,K20&amp;" "&amp;SUBSTITUTE(ROUND('Boundary'!C21,3)&amp;"",",",".")&amp;","&amp;SUBSTITUTE(ROUND('Boundary'!B21,3)&amp;"",",","."),K20)</f>
        <v/>
      </c>
      <c r="L21" s="19">
        <f>IF(16&lt;='Boundary'!$F$10,('Boundary'!C21+INDEX('Boundary'!$C$6:$C$35,IF(16='Boundary'!$F$10,1,16+1)))*F21,0)</f>
        <v/>
      </c>
      <c r="M21" s="19">
        <f>IF(16&lt;='Boundary'!$F$10,('Boundary'!B21+INDEX('Boundary'!$B$6:$B$35,IF(16='Boundary'!$F$10,1,16+1)))*F21,0)</f>
        <v/>
      </c>
    </row>
    <row r="22">
      <c r="A22" s="15">
        <f>IF(17&lt;='Boundary'!$F$10,'Boundary'!A22,"")</f>
        <v/>
      </c>
      <c r="B22" s="19">
        <f>IF(AND(17&lt;='Boundary'!$F$10,OR('Boundary'!$F$5="Yes",17&lt;'Boundary'!$F$10)),SQRT((INDEX('Boundary'!$B$6:$B$35,IF(17='Boundary'!$F$10,1,17+1))-'Boundary'!B22)^2+(INDEX('Boundary'!$C$6:$C$35,IF(17='Boundary'!$F$10,1,17+1))-'Boundary'!C22)^2),"")</f>
        <v/>
      </c>
      <c r="C22" s="18">
        <f>IF(AND(17&lt;='Boundary'!$F$10,OR('Boundary'!$F$5="Yes",17&lt;'Boundary'!$F$10)),MOD(DEGREES(ATAN2((INDEX('Boundary'!$B$6:$B$35,IF(17='Boundary'!$F$10,1,17+1))-'Boundary'!B22),(INDEX('Boundary'!$C$6:$C$35,IF(17='Boundary'!$F$10,1,17+1))-'Boundary'!C22))),360),"")</f>
        <v/>
      </c>
      <c r="D22" s="15">
        <f>IF(AND(17&lt;='Boundary'!$F$10,OR('Boundary'!$F$5="Yes",17&lt;'Boundary'!$F$10)),INT(MOD(ROUND(MOD(C22,360)*3600,0),1296000)/3600)&amp;"°"&amp;TEXT(INT(MOD(MOD(ROUND(MOD(C22,360)*3600,0),1296000),3600)/60),"00")&amp;"'"&amp;TEXT(MOD(MOD(ROUND(MOD(C22,360)*3600,0),1296000),60),"00")&amp;"""","")</f>
        <v/>
      </c>
      <c r="E22" s="20">
        <f>IF(AND(17&lt;='Boundary'!$F$10,OR('Boundary'!$F$5="Yes",17&lt;'Boundary'!$F$10)),IF(AND(MOD(DEGREES(ATAN2((INDEX('Boundary'!$C$6:$C$35,IF(17='Boundary'!$F$10,1,17+1))-'Boundary'!C22),(INDEX('Boundary'!$B$6:$B$35,IF(17='Boundary'!$F$10,1,17+1))-'Boundary'!B22))),360)&gt;90,MOD(DEGREES(ATAN2((INDEX('Boundary'!$C$6:$C$35,IF(17='Boundary'!$F$10,1,17+1))-'Boundary'!C22),(INDEX('Boundary'!$B$6:$B$35,IF(17='Boundary'!$F$10,1,17+1))-'Boundary'!B22))),360)&lt;=270),MOD(DEGREES(ATAN2((INDEX('Boundary'!$C$6:$C$35,IF(17='Boundary'!$F$10,1,17+1))-'Boundary'!C22),(INDEX('Boundary'!$B$6:$B$35,IF(17='Boundary'!$F$10,1,17+1))-'Boundary'!B22))),360)-180,MOD(DEGREES(ATAN2((INDEX('Boundary'!$C$6:$C$35,IF(17='Boundary'!$F$10,1,17+1))-'Boundary'!C22),(INDEX('Boundary'!$B$6:$B$35,IF(17='Boundary'!$F$10,1,17+1))-'Boundary'!B22))),360)),"")</f>
        <v/>
      </c>
      <c r="F22" s="19">
        <f>IF(17&lt;='Boundary'!$F$10,'Boundary'!C22*INDEX('Boundary'!$B$6:$B$35,IF(17='Boundary'!$F$10,1,17+1))-INDEX('Boundary'!$C$6:$C$35,IF(17='Boundary'!$F$10,1,17+1))*'Boundary'!B22,0)</f>
        <v/>
      </c>
      <c r="G22" s="19">
        <f>IF(AND(17&lt;='Boundary'!$F$10,OR('Boundary'!$F$5="Yes",17&lt;'Boundary'!$F$10)),('Boundary'!C22+INDEX('Boundary'!$C$6:$C$35,IF(17='Boundary'!$F$10,1,17+1)))/2,"")</f>
        <v/>
      </c>
      <c r="H22" s="19">
        <f>IF(AND(17&lt;='Boundary'!$F$10,OR('Boundary'!$F$5="Yes",17&lt;'Boundary'!$F$10)),('Boundary'!B22+INDEX('Boundary'!$B$6:$B$35,IF(17='Boundary'!$F$10,1,17+1)))/2,"")</f>
        <v/>
      </c>
      <c r="I22" s="19">
        <f>IF(AND(17&lt;='Boundary'!$F$10,OR('Boundary'!$F$5="Yes",17&lt;'Boundary'!$F$10)),G22-0.8*'Boundary'!$F$6*SIN(RADIANS(E22)),"")</f>
        <v/>
      </c>
      <c r="J22" s="19">
        <f>IF(AND(17&lt;='Boundary'!$F$10,OR('Boundary'!$F$5="Yes",17&lt;'Boundary'!$F$10)),H22+0.8*'Boundary'!$F$6*COS(RADIANS(E22)),"")</f>
        <v/>
      </c>
      <c r="K22" s="15">
        <f>IF(17&lt;='Boundary'!$F$10,K21&amp;" "&amp;SUBSTITUTE(ROUND('Boundary'!C22,3)&amp;"",",",".")&amp;","&amp;SUBSTITUTE(ROUND('Boundary'!B22,3)&amp;"",",","."),K21)</f>
        <v/>
      </c>
      <c r="L22" s="19">
        <f>IF(17&lt;='Boundary'!$F$10,('Boundary'!C22+INDEX('Boundary'!$C$6:$C$35,IF(17='Boundary'!$F$10,1,17+1)))*F22,0)</f>
        <v/>
      </c>
      <c r="M22" s="19">
        <f>IF(17&lt;='Boundary'!$F$10,('Boundary'!B22+INDEX('Boundary'!$B$6:$B$35,IF(17='Boundary'!$F$10,1,17+1)))*F22,0)</f>
        <v/>
      </c>
    </row>
    <row r="23">
      <c r="A23" s="15">
        <f>IF(18&lt;='Boundary'!$F$10,'Boundary'!A23,"")</f>
        <v/>
      </c>
      <c r="B23" s="19">
        <f>IF(AND(18&lt;='Boundary'!$F$10,OR('Boundary'!$F$5="Yes",18&lt;'Boundary'!$F$10)),SQRT((INDEX('Boundary'!$B$6:$B$35,IF(18='Boundary'!$F$10,1,18+1))-'Boundary'!B23)^2+(INDEX('Boundary'!$C$6:$C$35,IF(18='Boundary'!$F$10,1,18+1))-'Boundary'!C23)^2),"")</f>
        <v/>
      </c>
      <c r="C23" s="18">
        <f>IF(AND(18&lt;='Boundary'!$F$10,OR('Boundary'!$F$5="Yes",18&lt;'Boundary'!$F$10)),MOD(DEGREES(ATAN2((INDEX('Boundary'!$B$6:$B$35,IF(18='Boundary'!$F$10,1,18+1))-'Boundary'!B23),(INDEX('Boundary'!$C$6:$C$35,IF(18='Boundary'!$F$10,1,18+1))-'Boundary'!C23))),360),"")</f>
        <v/>
      </c>
      <c r="D23" s="15">
        <f>IF(AND(18&lt;='Boundary'!$F$10,OR('Boundary'!$F$5="Yes",18&lt;'Boundary'!$F$10)),INT(MOD(ROUND(MOD(C23,360)*3600,0),1296000)/3600)&amp;"°"&amp;TEXT(INT(MOD(MOD(ROUND(MOD(C23,360)*3600,0),1296000),3600)/60),"00")&amp;"'"&amp;TEXT(MOD(MOD(ROUND(MOD(C23,360)*3600,0),1296000),60),"00")&amp;"""","")</f>
        <v/>
      </c>
      <c r="E23" s="20">
        <f>IF(AND(18&lt;='Boundary'!$F$10,OR('Boundary'!$F$5="Yes",18&lt;'Boundary'!$F$10)),IF(AND(MOD(DEGREES(ATAN2((INDEX('Boundary'!$C$6:$C$35,IF(18='Boundary'!$F$10,1,18+1))-'Boundary'!C23),(INDEX('Boundary'!$B$6:$B$35,IF(18='Boundary'!$F$10,1,18+1))-'Boundary'!B23))),360)&gt;90,MOD(DEGREES(ATAN2((INDEX('Boundary'!$C$6:$C$35,IF(18='Boundary'!$F$10,1,18+1))-'Boundary'!C23),(INDEX('Boundary'!$B$6:$B$35,IF(18='Boundary'!$F$10,1,18+1))-'Boundary'!B23))),360)&lt;=270),MOD(DEGREES(ATAN2((INDEX('Boundary'!$C$6:$C$35,IF(18='Boundary'!$F$10,1,18+1))-'Boundary'!C23),(INDEX('Boundary'!$B$6:$B$35,IF(18='Boundary'!$F$10,1,18+1))-'Boundary'!B23))),360)-180,MOD(DEGREES(ATAN2((INDEX('Boundary'!$C$6:$C$35,IF(18='Boundary'!$F$10,1,18+1))-'Boundary'!C23),(INDEX('Boundary'!$B$6:$B$35,IF(18='Boundary'!$F$10,1,18+1))-'Boundary'!B23))),360)),"")</f>
        <v/>
      </c>
      <c r="F23" s="19">
        <f>IF(18&lt;='Boundary'!$F$10,'Boundary'!C23*INDEX('Boundary'!$B$6:$B$35,IF(18='Boundary'!$F$10,1,18+1))-INDEX('Boundary'!$C$6:$C$35,IF(18='Boundary'!$F$10,1,18+1))*'Boundary'!B23,0)</f>
        <v/>
      </c>
      <c r="G23" s="19">
        <f>IF(AND(18&lt;='Boundary'!$F$10,OR('Boundary'!$F$5="Yes",18&lt;'Boundary'!$F$10)),('Boundary'!C23+INDEX('Boundary'!$C$6:$C$35,IF(18='Boundary'!$F$10,1,18+1)))/2,"")</f>
        <v/>
      </c>
      <c r="H23" s="19">
        <f>IF(AND(18&lt;='Boundary'!$F$10,OR('Boundary'!$F$5="Yes",18&lt;'Boundary'!$F$10)),('Boundary'!B23+INDEX('Boundary'!$B$6:$B$35,IF(18='Boundary'!$F$10,1,18+1)))/2,"")</f>
        <v/>
      </c>
      <c r="I23" s="19">
        <f>IF(AND(18&lt;='Boundary'!$F$10,OR('Boundary'!$F$5="Yes",18&lt;'Boundary'!$F$10)),G23-0.8*'Boundary'!$F$6*SIN(RADIANS(E23)),"")</f>
        <v/>
      </c>
      <c r="J23" s="19">
        <f>IF(AND(18&lt;='Boundary'!$F$10,OR('Boundary'!$F$5="Yes",18&lt;'Boundary'!$F$10)),H23+0.8*'Boundary'!$F$6*COS(RADIANS(E23)),"")</f>
        <v/>
      </c>
      <c r="K23" s="15">
        <f>IF(18&lt;='Boundary'!$F$10,K22&amp;" "&amp;SUBSTITUTE(ROUND('Boundary'!C23,3)&amp;"",",",".")&amp;","&amp;SUBSTITUTE(ROUND('Boundary'!B23,3)&amp;"",",","."),K22)</f>
        <v/>
      </c>
      <c r="L23" s="19">
        <f>IF(18&lt;='Boundary'!$F$10,('Boundary'!C23+INDEX('Boundary'!$C$6:$C$35,IF(18='Boundary'!$F$10,1,18+1)))*F23,0)</f>
        <v/>
      </c>
      <c r="M23" s="19">
        <f>IF(18&lt;='Boundary'!$F$10,('Boundary'!B23+INDEX('Boundary'!$B$6:$B$35,IF(18='Boundary'!$F$10,1,18+1)))*F23,0)</f>
        <v/>
      </c>
    </row>
    <row r="24">
      <c r="A24" s="15">
        <f>IF(19&lt;='Boundary'!$F$10,'Boundary'!A24,"")</f>
        <v/>
      </c>
      <c r="B24" s="19">
        <f>IF(AND(19&lt;='Boundary'!$F$10,OR('Boundary'!$F$5="Yes",19&lt;'Boundary'!$F$10)),SQRT((INDEX('Boundary'!$B$6:$B$35,IF(19='Boundary'!$F$10,1,19+1))-'Boundary'!B24)^2+(INDEX('Boundary'!$C$6:$C$35,IF(19='Boundary'!$F$10,1,19+1))-'Boundary'!C24)^2),"")</f>
        <v/>
      </c>
      <c r="C24" s="18">
        <f>IF(AND(19&lt;='Boundary'!$F$10,OR('Boundary'!$F$5="Yes",19&lt;'Boundary'!$F$10)),MOD(DEGREES(ATAN2((INDEX('Boundary'!$B$6:$B$35,IF(19='Boundary'!$F$10,1,19+1))-'Boundary'!B24),(INDEX('Boundary'!$C$6:$C$35,IF(19='Boundary'!$F$10,1,19+1))-'Boundary'!C24))),360),"")</f>
        <v/>
      </c>
      <c r="D24" s="15">
        <f>IF(AND(19&lt;='Boundary'!$F$10,OR('Boundary'!$F$5="Yes",19&lt;'Boundary'!$F$10)),INT(MOD(ROUND(MOD(C24,360)*3600,0),1296000)/3600)&amp;"°"&amp;TEXT(INT(MOD(MOD(ROUND(MOD(C24,360)*3600,0),1296000),3600)/60),"00")&amp;"'"&amp;TEXT(MOD(MOD(ROUND(MOD(C24,360)*3600,0),1296000),60),"00")&amp;"""","")</f>
        <v/>
      </c>
      <c r="E24" s="20">
        <f>IF(AND(19&lt;='Boundary'!$F$10,OR('Boundary'!$F$5="Yes",19&lt;'Boundary'!$F$10)),IF(AND(MOD(DEGREES(ATAN2((INDEX('Boundary'!$C$6:$C$35,IF(19='Boundary'!$F$10,1,19+1))-'Boundary'!C24),(INDEX('Boundary'!$B$6:$B$35,IF(19='Boundary'!$F$10,1,19+1))-'Boundary'!B24))),360)&gt;90,MOD(DEGREES(ATAN2((INDEX('Boundary'!$C$6:$C$35,IF(19='Boundary'!$F$10,1,19+1))-'Boundary'!C24),(INDEX('Boundary'!$B$6:$B$35,IF(19='Boundary'!$F$10,1,19+1))-'Boundary'!B24))),360)&lt;=270),MOD(DEGREES(ATAN2((INDEX('Boundary'!$C$6:$C$35,IF(19='Boundary'!$F$10,1,19+1))-'Boundary'!C24),(INDEX('Boundary'!$B$6:$B$35,IF(19='Boundary'!$F$10,1,19+1))-'Boundary'!B24))),360)-180,MOD(DEGREES(ATAN2((INDEX('Boundary'!$C$6:$C$35,IF(19='Boundary'!$F$10,1,19+1))-'Boundary'!C24),(INDEX('Boundary'!$B$6:$B$35,IF(19='Boundary'!$F$10,1,19+1))-'Boundary'!B24))),360)),"")</f>
        <v/>
      </c>
      <c r="F24" s="19">
        <f>IF(19&lt;='Boundary'!$F$10,'Boundary'!C24*INDEX('Boundary'!$B$6:$B$35,IF(19='Boundary'!$F$10,1,19+1))-INDEX('Boundary'!$C$6:$C$35,IF(19='Boundary'!$F$10,1,19+1))*'Boundary'!B24,0)</f>
        <v/>
      </c>
      <c r="G24" s="19">
        <f>IF(AND(19&lt;='Boundary'!$F$10,OR('Boundary'!$F$5="Yes",19&lt;'Boundary'!$F$10)),('Boundary'!C24+INDEX('Boundary'!$C$6:$C$35,IF(19='Boundary'!$F$10,1,19+1)))/2,"")</f>
        <v/>
      </c>
      <c r="H24" s="19">
        <f>IF(AND(19&lt;='Boundary'!$F$10,OR('Boundary'!$F$5="Yes",19&lt;'Boundary'!$F$10)),('Boundary'!B24+INDEX('Boundary'!$B$6:$B$35,IF(19='Boundary'!$F$10,1,19+1)))/2,"")</f>
        <v/>
      </c>
      <c r="I24" s="19">
        <f>IF(AND(19&lt;='Boundary'!$F$10,OR('Boundary'!$F$5="Yes",19&lt;'Boundary'!$F$10)),G24-0.8*'Boundary'!$F$6*SIN(RADIANS(E24)),"")</f>
        <v/>
      </c>
      <c r="J24" s="19">
        <f>IF(AND(19&lt;='Boundary'!$F$10,OR('Boundary'!$F$5="Yes",19&lt;'Boundary'!$F$10)),H24+0.8*'Boundary'!$F$6*COS(RADIANS(E24)),"")</f>
        <v/>
      </c>
      <c r="K24" s="15">
        <f>IF(19&lt;='Boundary'!$F$10,K23&amp;" "&amp;SUBSTITUTE(ROUND('Boundary'!C24,3)&amp;"",",",".")&amp;","&amp;SUBSTITUTE(ROUND('Boundary'!B24,3)&amp;"",",","."),K23)</f>
        <v/>
      </c>
      <c r="L24" s="19">
        <f>IF(19&lt;='Boundary'!$F$10,('Boundary'!C24+INDEX('Boundary'!$C$6:$C$35,IF(19='Boundary'!$F$10,1,19+1)))*F24,0)</f>
        <v/>
      </c>
      <c r="M24" s="19">
        <f>IF(19&lt;='Boundary'!$F$10,('Boundary'!B24+INDEX('Boundary'!$B$6:$B$35,IF(19='Boundary'!$F$10,1,19+1)))*F24,0)</f>
        <v/>
      </c>
    </row>
    <row r="25">
      <c r="A25" s="15">
        <f>IF(20&lt;='Boundary'!$F$10,'Boundary'!A25,"")</f>
        <v/>
      </c>
      <c r="B25" s="19">
        <f>IF(AND(20&lt;='Boundary'!$F$10,OR('Boundary'!$F$5="Yes",20&lt;'Boundary'!$F$10)),SQRT((INDEX('Boundary'!$B$6:$B$35,IF(20='Boundary'!$F$10,1,20+1))-'Boundary'!B25)^2+(INDEX('Boundary'!$C$6:$C$35,IF(20='Boundary'!$F$10,1,20+1))-'Boundary'!C25)^2),"")</f>
        <v/>
      </c>
      <c r="C25" s="18">
        <f>IF(AND(20&lt;='Boundary'!$F$10,OR('Boundary'!$F$5="Yes",20&lt;'Boundary'!$F$10)),MOD(DEGREES(ATAN2((INDEX('Boundary'!$B$6:$B$35,IF(20='Boundary'!$F$10,1,20+1))-'Boundary'!B25),(INDEX('Boundary'!$C$6:$C$35,IF(20='Boundary'!$F$10,1,20+1))-'Boundary'!C25))),360),"")</f>
        <v/>
      </c>
      <c r="D25" s="15">
        <f>IF(AND(20&lt;='Boundary'!$F$10,OR('Boundary'!$F$5="Yes",20&lt;'Boundary'!$F$10)),INT(MOD(ROUND(MOD(C25,360)*3600,0),1296000)/3600)&amp;"°"&amp;TEXT(INT(MOD(MOD(ROUND(MOD(C25,360)*3600,0),1296000),3600)/60),"00")&amp;"'"&amp;TEXT(MOD(MOD(ROUND(MOD(C25,360)*3600,0),1296000),60),"00")&amp;"""","")</f>
        <v/>
      </c>
      <c r="E25" s="20">
        <f>IF(AND(20&lt;='Boundary'!$F$10,OR('Boundary'!$F$5="Yes",20&lt;'Boundary'!$F$10)),IF(AND(MOD(DEGREES(ATAN2((INDEX('Boundary'!$C$6:$C$35,IF(20='Boundary'!$F$10,1,20+1))-'Boundary'!C25),(INDEX('Boundary'!$B$6:$B$35,IF(20='Boundary'!$F$10,1,20+1))-'Boundary'!B25))),360)&gt;90,MOD(DEGREES(ATAN2((INDEX('Boundary'!$C$6:$C$35,IF(20='Boundary'!$F$10,1,20+1))-'Boundary'!C25),(INDEX('Boundary'!$B$6:$B$35,IF(20='Boundary'!$F$10,1,20+1))-'Boundary'!B25))),360)&lt;=270),MOD(DEGREES(ATAN2((INDEX('Boundary'!$C$6:$C$35,IF(20='Boundary'!$F$10,1,20+1))-'Boundary'!C25),(INDEX('Boundary'!$B$6:$B$35,IF(20='Boundary'!$F$10,1,20+1))-'Boundary'!B25))),360)-180,MOD(DEGREES(ATAN2((INDEX('Boundary'!$C$6:$C$35,IF(20='Boundary'!$F$10,1,20+1))-'Boundary'!C25),(INDEX('Boundary'!$B$6:$B$35,IF(20='Boundary'!$F$10,1,20+1))-'Boundary'!B25))),360)),"")</f>
        <v/>
      </c>
      <c r="F25" s="19">
        <f>IF(20&lt;='Boundary'!$F$10,'Boundary'!C25*INDEX('Boundary'!$B$6:$B$35,IF(20='Boundary'!$F$10,1,20+1))-INDEX('Boundary'!$C$6:$C$35,IF(20='Boundary'!$F$10,1,20+1))*'Boundary'!B25,0)</f>
        <v/>
      </c>
      <c r="G25" s="19">
        <f>IF(AND(20&lt;='Boundary'!$F$10,OR('Boundary'!$F$5="Yes",20&lt;'Boundary'!$F$10)),('Boundary'!C25+INDEX('Boundary'!$C$6:$C$35,IF(20='Boundary'!$F$10,1,20+1)))/2,"")</f>
        <v/>
      </c>
      <c r="H25" s="19">
        <f>IF(AND(20&lt;='Boundary'!$F$10,OR('Boundary'!$F$5="Yes",20&lt;'Boundary'!$F$10)),('Boundary'!B25+INDEX('Boundary'!$B$6:$B$35,IF(20='Boundary'!$F$10,1,20+1)))/2,"")</f>
        <v/>
      </c>
      <c r="I25" s="19">
        <f>IF(AND(20&lt;='Boundary'!$F$10,OR('Boundary'!$F$5="Yes",20&lt;'Boundary'!$F$10)),G25-0.8*'Boundary'!$F$6*SIN(RADIANS(E25)),"")</f>
        <v/>
      </c>
      <c r="J25" s="19">
        <f>IF(AND(20&lt;='Boundary'!$F$10,OR('Boundary'!$F$5="Yes",20&lt;'Boundary'!$F$10)),H25+0.8*'Boundary'!$F$6*COS(RADIANS(E25)),"")</f>
        <v/>
      </c>
      <c r="K25" s="15">
        <f>IF(20&lt;='Boundary'!$F$10,K24&amp;" "&amp;SUBSTITUTE(ROUND('Boundary'!C25,3)&amp;"",",",".")&amp;","&amp;SUBSTITUTE(ROUND('Boundary'!B25,3)&amp;"",",","."),K24)</f>
        <v/>
      </c>
      <c r="L25" s="19">
        <f>IF(20&lt;='Boundary'!$F$10,('Boundary'!C25+INDEX('Boundary'!$C$6:$C$35,IF(20='Boundary'!$F$10,1,20+1)))*F25,0)</f>
        <v/>
      </c>
      <c r="M25" s="19">
        <f>IF(20&lt;='Boundary'!$F$10,('Boundary'!B25+INDEX('Boundary'!$B$6:$B$35,IF(20='Boundary'!$F$10,1,20+1)))*F25,0)</f>
        <v/>
      </c>
    </row>
    <row r="26">
      <c r="A26" s="15">
        <f>IF(21&lt;='Boundary'!$F$10,'Boundary'!A26,"")</f>
        <v/>
      </c>
      <c r="B26" s="19">
        <f>IF(AND(21&lt;='Boundary'!$F$10,OR('Boundary'!$F$5="Yes",21&lt;'Boundary'!$F$10)),SQRT((INDEX('Boundary'!$B$6:$B$35,IF(21='Boundary'!$F$10,1,21+1))-'Boundary'!B26)^2+(INDEX('Boundary'!$C$6:$C$35,IF(21='Boundary'!$F$10,1,21+1))-'Boundary'!C26)^2),"")</f>
        <v/>
      </c>
      <c r="C26" s="18">
        <f>IF(AND(21&lt;='Boundary'!$F$10,OR('Boundary'!$F$5="Yes",21&lt;'Boundary'!$F$10)),MOD(DEGREES(ATAN2((INDEX('Boundary'!$B$6:$B$35,IF(21='Boundary'!$F$10,1,21+1))-'Boundary'!B26),(INDEX('Boundary'!$C$6:$C$35,IF(21='Boundary'!$F$10,1,21+1))-'Boundary'!C26))),360),"")</f>
        <v/>
      </c>
      <c r="D26" s="15">
        <f>IF(AND(21&lt;='Boundary'!$F$10,OR('Boundary'!$F$5="Yes",21&lt;'Boundary'!$F$10)),INT(MOD(ROUND(MOD(C26,360)*3600,0),1296000)/3600)&amp;"°"&amp;TEXT(INT(MOD(MOD(ROUND(MOD(C26,360)*3600,0),1296000),3600)/60),"00")&amp;"'"&amp;TEXT(MOD(MOD(ROUND(MOD(C26,360)*3600,0),1296000),60),"00")&amp;"""","")</f>
        <v/>
      </c>
      <c r="E26" s="20">
        <f>IF(AND(21&lt;='Boundary'!$F$10,OR('Boundary'!$F$5="Yes",21&lt;'Boundary'!$F$10)),IF(AND(MOD(DEGREES(ATAN2((INDEX('Boundary'!$C$6:$C$35,IF(21='Boundary'!$F$10,1,21+1))-'Boundary'!C26),(INDEX('Boundary'!$B$6:$B$35,IF(21='Boundary'!$F$10,1,21+1))-'Boundary'!B26))),360)&gt;90,MOD(DEGREES(ATAN2((INDEX('Boundary'!$C$6:$C$35,IF(21='Boundary'!$F$10,1,21+1))-'Boundary'!C26),(INDEX('Boundary'!$B$6:$B$35,IF(21='Boundary'!$F$10,1,21+1))-'Boundary'!B26))),360)&lt;=270),MOD(DEGREES(ATAN2((INDEX('Boundary'!$C$6:$C$35,IF(21='Boundary'!$F$10,1,21+1))-'Boundary'!C26),(INDEX('Boundary'!$B$6:$B$35,IF(21='Boundary'!$F$10,1,21+1))-'Boundary'!B26))),360)-180,MOD(DEGREES(ATAN2((INDEX('Boundary'!$C$6:$C$35,IF(21='Boundary'!$F$10,1,21+1))-'Boundary'!C26),(INDEX('Boundary'!$B$6:$B$35,IF(21='Boundary'!$F$10,1,21+1))-'Boundary'!B26))),360)),"")</f>
        <v/>
      </c>
      <c r="F26" s="19">
        <f>IF(21&lt;='Boundary'!$F$10,'Boundary'!C26*INDEX('Boundary'!$B$6:$B$35,IF(21='Boundary'!$F$10,1,21+1))-INDEX('Boundary'!$C$6:$C$35,IF(21='Boundary'!$F$10,1,21+1))*'Boundary'!B26,0)</f>
        <v/>
      </c>
      <c r="G26" s="19">
        <f>IF(AND(21&lt;='Boundary'!$F$10,OR('Boundary'!$F$5="Yes",21&lt;'Boundary'!$F$10)),('Boundary'!C26+INDEX('Boundary'!$C$6:$C$35,IF(21='Boundary'!$F$10,1,21+1)))/2,"")</f>
        <v/>
      </c>
      <c r="H26" s="19">
        <f>IF(AND(21&lt;='Boundary'!$F$10,OR('Boundary'!$F$5="Yes",21&lt;'Boundary'!$F$10)),('Boundary'!B26+INDEX('Boundary'!$B$6:$B$35,IF(21='Boundary'!$F$10,1,21+1)))/2,"")</f>
        <v/>
      </c>
      <c r="I26" s="19">
        <f>IF(AND(21&lt;='Boundary'!$F$10,OR('Boundary'!$F$5="Yes",21&lt;'Boundary'!$F$10)),G26-0.8*'Boundary'!$F$6*SIN(RADIANS(E26)),"")</f>
        <v/>
      </c>
      <c r="J26" s="19">
        <f>IF(AND(21&lt;='Boundary'!$F$10,OR('Boundary'!$F$5="Yes",21&lt;'Boundary'!$F$10)),H26+0.8*'Boundary'!$F$6*COS(RADIANS(E26)),"")</f>
        <v/>
      </c>
      <c r="K26" s="15">
        <f>IF(21&lt;='Boundary'!$F$10,K25&amp;" "&amp;SUBSTITUTE(ROUND('Boundary'!C26,3)&amp;"",",",".")&amp;","&amp;SUBSTITUTE(ROUND('Boundary'!B26,3)&amp;"",",","."),K25)</f>
        <v/>
      </c>
      <c r="L26" s="19">
        <f>IF(21&lt;='Boundary'!$F$10,('Boundary'!C26+INDEX('Boundary'!$C$6:$C$35,IF(21='Boundary'!$F$10,1,21+1)))*F26,0)</f>
        <v/>
      </c>
      <c r="M26" s="19">
        <f>IF(21&lt;='Boundary'!$F$10,('Boundary'!B26+INDEX('Boundary'!$B$6:$B$35,IF(21='Boundary'!$F$10,1,21+1)))*F26,0)</f>
        <v/>
      </c>
    </row>
    <row r="27">
      <c r="A27" s="15">
        <f>IF(22&lt;='Boundary'!$F$10,'Boundary'!A27,"")</f>
        <v/>
      </c>
      <c r="B27" s="19">
        <f>IF(AND(22&lt;='Boundary'!$F$10,OR('Boundary'!$F$5="Yes",22&lt;'Boundary'!$F$10)),SQRT((INDEX('Boundary'!$B$6:$B$35,IF(22='Boundary'!$F$10,1,22+1))-'Boundary'!B27)^2+(INDEX('Boundary'!$C$6:$C$35,IF(22='Boundary'!$F$10,1,22+1))-'Boundary'!C27)^2),"")</f>
        <v/>
      </c>
      <c r="C27" s="18">
        <f>IF(AND(22&lt;='Boundary'!$F$10,OR('Boundary'!$F$5="Yes",22&lt;'Boundary'!$F$10)),MOD(DEGREES(ATAN2((INDEX('Boundary'!$B$6:$B$35,IF(22='Boundary'!$F$10,1,22+1))-'Boundary'!B27),(INDEX('Boundary'!$C$6:$C$35,IF(22='Boundary'!$F$10,1,22+1))-'Boundary'!C27))),360),"")</f>
        <v/>
      </c>
      <c r="D27" s="15">
        <f>IF(AND(22&lt;='Boundary'!$F$10,OR('Boundary'!$F$5="Yes",22&lt;'Boundary'!$F$10)),INT(MOD(ROUND(MOD(C27,360)*3600,0),1296000)/3600)&amp;"°"&amp;TEXT(INT(MOD(MOD(ROUND(MOD(C27,360)*3600,0),1296000),3600)/60),"00")&amp;"'"&amp;TEXT(MOD(MOD(ROUND(MOD(C27,360)*3600,0),1296000),60),"00")&amp;"""","")</f>
        <v/>
      </c>
      <c r="E27" s="20">
        <f>IF(AND(22&lt;='Boundary'!$F$10,OR('Boundary'!$F$5="Yes",22&lt;'Boundary'!$F$10)),IF(AND(MOD(DEGREES(ATAN2((INDEX('Boundary'!$C$6:$C$35,IF(22='Boundary'!$F$10,1,22+1))-'Boundary'!C27),(INDEX('Boundary'!$B$6:$B$35,IF(22='Boundary'!$F$10,1,22+1))-'Boundary'!B27))),360)&gt;90,MOD(DEGREES(ATAN2((INDEX('Boundary'!$C$6:$C$35,IF(22='Boundary'!$F$10,1,22+1))-'Boundary'!C27),(INDEX('Boundary'!$B$6:$B$35,IF(22='Boundary'!$F$10,1,22+1))-'Boundary'!B27))),360)&lt;=270),MOD(DEGREES(ATAN2((INDEX('Boundary'!$C$6:$C$35,IF(22='Boundary'!$F$10,1,22+1))-'Boundary'!C27),(INDEX('Boundary'!$B$6:$B$35,IF(22='Boundary'!$F$10,1,22+1))-'Boundary'!B27))),360)-180,MOD(DEGREES(ATAN2((INDEX('Boundary'!$C$6:$C$35,IF(22='Boundary'!$F$10,1,22+1))-'Boundary'!C27),(INDEX('Boundary'!$B$6:$B$35,IF(22='Boundary'!$F$10,1,22+1))-'Boundary'!B27))),360)),"")</f>
        <v/>
      </c>
      <c r="F27" s="19">
        <f>IF(22&lt;='Boundary'!$F$10,'Boundary'!C27*INDEX('Boundary'!$B$6:$B$35,IF(22='Boundary'!$F$10,1,22+1))-INDEX('Boundary'!$C$6:$C$35,IF(22='Boundary'!$F$10,1,22+1))*'Boundary'!B27,0)</f>
        <v/>
      </c>
      <c r="G27" s="19">
        <f>IF(AND(22&lt;='Boundary'!$F$10,OR('Boundary'!$F$5="Yes",22&lt;'Boundary'!$F$10)),('Boundary'!C27+INDEX('Boundary'!$C$6:$C$35,IF(22='Boundary'!$F$10,1,22+1)))/2,"")</f>
        <v/>
      </c>
      <c r="H27" s="19">
        <f>IF(AND(22&lt;='Boundary'!$F$10,OR('Boundary'!$F$5="Yes",22&lt;'Boundary'!$F$10)),('Boundary'!B27+INDEX('Boundary'!$B$6:$B$35,IF(22='Boundary'!$F$10,1,22+1)))/2,"")</f>
        <v/>
      </c>
      <c r="I27" s="19">
        <f>IF(AND(22&lt;='Boundary'!$F$10,OR('Boundary'!$F$5="Yes",22&lt;'Boundary'!$F$10)),G27-0.8*'Boundary'!$F$6*SIN(RADIANS(E27)),"")</f>
        <v/>
      </c>
      <c r="J27" s="19">
        <f>IF(AND(22&lt;='Boundary'!$F$10,OR('Boundary'!$F$5="Yes",22&lt;'Boundary'!$F$10)),H27+0.8*'Boundary'!$F$6*COS(RADIANS(E27)),"")</f>
        <v/>
      </c>
      <c r="K27" s="15">
        <f>IF(22&lt;='Boundary'!$F$10,K26&amp;" "&amp;SUBSTITUTE(ROUND('Boundary'!C27,3)&amp;"",",",".")&amp;","&amp;SUBSTITUTE(ROUND('Boundary'!B27,3)&amp;"",",","."),K26)</f>
        <v/>
      </c>
      <c r="L27" s="19">
        <f>IF(22&lt;='Boundary'!$F$10,('Boundary'!C27+INDEX('Boundary'!$C$6:$C$35,IF(22='Boundary'!$F$10,1,22+1)))*F27,0)</f>
        <v/>
      </c>
      <c r="M27" s="19">
        <f>IF(22&lt;='Boundary'!$F$10,('Boundary'!B27+INDEX('Boundary'!$B$6:$B$35,IF(22='Boundary'!$F$10,1,22+1)))*F27,0)</f>
        <v/>
      </c>
    </row>
    <row r="28">
      <c r="A28" s="15">
        <f>IF(23&lt;='Boundary'!$F$10,'Boundary'!A28,"")</f>
        <v/>
      </c>
      <c r="B28" s="19">
        <f>IF(AND(23&lt;='Boundary'!$F$10,OR('Boundary'!$F$5="Yes",23&lt;'Boundary'!$F$10)),SQRT((INDEX('Boundary'!$B$6:$B$35,IF(23='Boundary'!$F$10,1,23+1))-'Boundary'!B28)^2+(INDEX('Boundary'!$C$6:$C$35,IF(23='Boundary'!$F$10,1,23+1))-'Boundary'!C28)^2),"")</f>
        <v/>
      </c>
      <c r="C28" s="18">
        <f>IF(AND(23&lt;='Boundary'!$F$10,OR('Boundary'!$F$5="Yes",23&lt;'Boundary'!$F$10)),MOD(DEGREES(ATAN2((INDEX('Boundary'!$B$6:$B$35,IF(23='Boundary'!$F$10,1,23+1))-'Boundary'!B28),(INDEX('Boundary'!$C$6:$C$35,IF(23='Boundary'!$F$10,1,23+1))-'Boundary'!C28))),360),"")</f>
        <v/>
      </c>
      <c r="D28" s="15">
        <f>IF(AND(23&lt;='Boundary'!$F$10,OR('Boundary'!$F$5="Yes",23&lt;'Boundary'!$F$10)),INT(MOD(ROUND(MOD(C28,360)*3600,0),1296000)/3600)&amp;"°"&amp;TEXT(INT(MOD(MOD(ROUND(MOD(C28,360)*3600,0),1296000),3600)/60),"00")&amp;"'"&amp;TEXT(MOD(MOD(ROUND(MOD(C28,360)*3600,0),1296000),60),"00")&amp;"""","")</f>
        <v/>
      </c>
      <c r="E28" s="20">
        <f>IF(AND(23&lt;='Boundary'!$F$10,OR('Boundary'!$F$5="Yes",23&lt;'Boundary'!$F$10)),IF(AND(MOD(DEGREES(ATAN2((INDEX('Boundary'!$C$6:$C$35,IF(23='Boundary'!$F$10,1,23+1))-'Boundary'!C28),(INDEX('Boundary'!$B$6:$B$35,IF(23='Boundary'!$F$10,1,23+1))-'Boundary'!B28))),360)&gt;90,MOD(DEGREES(ATAN2((INDEX('Boundary'!$C$6:$C$35,IF(23='Boundary'!$F$10,1,23+1))-'Boundary'!C28),(INDEX('Boundary'!$B$6:$B$35,IF(23='Boundary'!$F$10,1,23+1))-'Boundary'!B28))),360)&lt;=270),MOD(DEGREES(ATAN2((INDEX('Boundary'!$C$6:$C$35,IF(23='Boundary'!$F$10,1,23+1))-'Boundary'!C28),(INDEX('Boundary'!$B$6:$B$35,IF(23='Boundary'!$F$10,1,23+1))-'Boundary'!B28))),360)-180,MOD(DEGREES(ATAN2((INDEX('Boundary'!$C$6:$C$35,IF(23='Boundary'!$F$10,1,23+1))-'Boundary'!C28),(INDEX('Boundary'!$B$6:$B$35,IF(23='Boundary'!$F$10,1,23+1))-'Boundary'!B28))),360)),"")</f>
        <v/>
      </c>
      <c r="F28" s="19">
        <f>IF(23&lt;='Boundary'!$F$10,'Boundary'!C28*INDEX('Boundary'!$B$6:$B$35,IF(23='Boundary'!$F$10,1,23+1))-INDEX('Boundary'!$C$6:$C$35,IF(23='Boundary'!$F$10,1,23+1))*'Boundary'!B28,0)</f>
        <v/>
      </c>
      <c r="G28" s="19">
        <f>IF(AND(23&lt;='Boundary'!$F$10,OR('Boundary'!$F$5="Yes",23&lt;'Boundary'!$F$10)),('Boundary'!C28+INDEX('Boundary'!$C$6:$C$35,IF(23='Boundary'!$F$10,1,23+1)))/2,"")</f>
        <v/>
      </c>
      <c r="H28" s="19">
        <f>IF(AND(23&lt;='Boundary'!$F$10,OR('Boundary'!$F$5="Yes",23&lt;'Boundary'!$F$10)),('Boundary'!B28+INDEX('Boundary'!$B$6:$B$35,IF(23='Boundary'!$F$10,1,23+1)))/2,"")</f>
        <v/>
      </c>
      <c r="I28" s="19">
        <f>IF(AND(23&lt;='Boundary'!$F$10,OR('Boundary'!$F$5="Yes",23&lt;'Boundary'!$F$10)),G28-0.8*'Boundary'!$F$6*SIN(RADIANS(E28)),"")</f>
        <v/>
      </c>
      <c r="J28" s="19">
        <f>IF(AND(23&lt;='Boundary'!$F$10,OR('Boundary'!$F$5="Yes",23&lt;'Boundary'!$F$10)),H28+0.8*'Boundary'!$F$6*COS(RADIANS(E28)),"")</f>
        <v/>
      </c>
      <c r="K28" s="15">
        <f>IF(23&lt;='Boundary'!$F$10,K27&amp;" "&amp;SUBSTITUTE(ROUND('Boundary'!C28,3)&amp;"",",",".")&amp;","&amp;SUBSTITUTE(ROUND('Boundary'!B28,3)&amp;"",",","."),K27)</f>
        <v/>
      </c>
      <c r="L28" s="19">
        <f>IF(23&lt;='Boundary'!$F$10,('Boundary'!C28+INDEX('Boundary'!$C$6:$C$35,IF(23='Boundary'!$F$10,1,23+1)))*F28,0)</f>
        <v/>
      </c>
      <c r="M28" s="19">
        <f>IF(23&lt;='Boundary'!$F$10,('Boundary'!B28+INDEX('Boundary'!$B$6:$B$35,IF(23='Boundary'!$F$10,1,23+1)))*F28,0)</f>
        <v/>
      </c>
    </row>
    <row r="29">
      <c r="A29" s="15">
        <f>IF(24&lt;='Boundary'!$F$10,'Boundary'!A29,"")</f>
        <v/>
      </c>
      <c r="B29" s="19">
        <f>IF(AND(24&lt;='Boundary'!$F$10,OR('Boundary'!$F$5="Yes",24&lt;'Boundary'!$F$10)),SQRT((INDEX('Boundary'!$B$6:$B$35,IF(24='Boundary'!$F$10,1,24+1))-'Boundary'!B29)^2+(INDEX('Boundary'!$C$6:$C$35,IF(24='Boundary'!$F$10,1,24+1))-'Boundary'!C29)^2),"")</f>
        <v/>
      </c>
      <c r="C29" s="18">
        <f>IF(AND(24&lt;='Boundary'!$F$10,OR('Boundary'!$F$5="Yes",24&lt;'Boundary'!$F$10)),MOD(DEGREES(ATAN2((INDEX('Boundary'!$B$6:$B$35,IF(24='Boundary'!$F$10,1,24+1))-'Boundary'!B29),(INDEX('Boundary'!$C$6:$C$35,IF(24='Boundary'!$F$10,1,24+1))-'Boundary'!C29))),360),"")</f>
        <v/>
      </c>
      <c r="D29" s="15">
        <f>IF(AND(24&lt;='Boundary'!$F$10,OR('Boundary'!$F$5="Yes",24&lt;'Boundary'!$F$10)),INT(MOD(ROUND(MOD(C29,360)*3600,0),1296000)/3600)&amp;"°"&amp;TEXT(INT(MOD(MOD(ROUND(MOD(C29,360)*3600,0),1296000),3600)/60),"00")&amp;"'"&amp;TEXT(MOD(MOD(ROUND(MOD(C29,360)*3600,0),1296000),60),"00")&amp;"""","")</f>
        <v/>
      </c>
      <c r="E29" s="20">
        <f>IF(AND(24&lt;='Boundary'!$F$10,OR('Boundary'!$F$5="Yes",24&lt;'Boundary'!$F$10)),IF(AND(MOD(DEGREES(ATAN2((INDEX('Boundary'!$C$6:$C$35,IF(24='Boundary'!$F$10,1,24+1))-'Boundary'!C29),(INDEX('Boundary'!$B$6:$B$35,IF(24='Boundary'!$F$10,1,24+1))-'Boundary'!B29))),360)&gt;90,MOD(DEGREES(ATAN2((INDEX('Boundary'!$C$6:$C$35,IF(24='Boundary'!$F$10,1,24+1))-'Boundary'!C29),(INDEX('Boundary'!$B$6:$B$35,IF(24='Boundary'!$F$10,1,24+1))-'Boundary'!B29))),360)&lt;=270),MOD(DEGREES(ATAN2((INDEX('Boundary'!$C$6:$C$35,IF(24='Boundary'!$F$10,1,24+1))-'Boundary'!C29),(INDEX('Boundary'!$B$6:$B$35,IF(24='Boundary'!$F$10,1,24+1))-'Boundary'!B29))),360)-180,MOD(DEGREES(ATAN2((INDEX('Boundary'!$C$6:$C$35,IF(24='Boundary'!$F$10,1,24+1))-'Boundary'!C29),(INDEX('Boundary'!$B$6:$B$35,IF(24='Boundary'!$F$10,1,24+1))-'Boundary'!B29))),360)),"")</f>
        <v/>
      </c>
      <c r="F29" s="19">
        <f>IF(24&lt;='Boundary'!$F$10,'Boundary'!C29*INDEX('Boundary'!$B$6:$B$35,IF(24='Boundary'!$F$10,1,24+1))-INDEX('Boundary'!$C$6:$C$35,IF(24='Boundary'!$F$10,1,24+1))*'Boundary'!B29,0)</f>
        <v/>
      </c>
      <c r="G29" s="19">
        <f>IF(AND(24&lt;='Boundary'!$F$10,OR('Boundary'!$F$5="Yes",24&lt;'Boundary'!$F$10)),('Boundary'!C29+INDEX('Boundary'!$C$6:$C$35,IF(24='Boundary'!$F$10,1,24+1)))/2,"")</f>
        <v/>
      </c>
      <c r="H29" s="19">
        <f>IF(AND(24&lt;='Boundary'!$F$10,OR('Boundary'!$F$5="Yes",24&lt;'Boundary'!$F$10)),('Boundary'!B29+INDEX('Boundary'!$B$6:$B$35,IF(24='Boundary'!$F$10,1,24+1)))/2,"")</f>
        <v/>
      </c>
      <c r="I29" s="19">
        <f>IF(AND(24&lt;='Boundary'!$F$10,OR('Boundary'!$F$5="Yes",24&lt;'Boundary'!$F$10)),G29-0.8*'Boundary'!$F$6*SIN(RADIANS(E29)),"")</f>
        <v/>
      </c>
      <c r="J29" s="19">
        <f>IF(AND(24&lt;='Boundary'!$F$10,OR('Boundary'!$F$5="Yes",24&lt;'Boundary'!$F$10)),H29+0.8*'Boundary'!$F$6*COS(RADIANS(E29)),"")</f>
        <v/>
      </c>
      <c r="K29" s="15">
        <f>IF(24&lt;='Boundary'!$F$10,K28&amp;" "&amp;SUBSTITUTE(ROUND('Boundary'!C29,3)&amp;"",",",".")&amp;","&amp;SUBSTITUTE(ROUND('Boundary'!B29,3)&amp;"",",","."),K28)</f>
        <v/>
      </c>
      <c r="L29" s="19">
        <f>IF(24&lt;='Boundary'!$F$10,('Boundary'!C29+INDEX('Boundary'!$C$6:$C$35,IF(24='Boundary'!$F$10,1,24+1)))*F29,0)</f>
        <v/>
      </c>
      <c r="M29" s="19">
        <f>IF(24&lt;='Boundary'!$F$10,('Boundary'!B29+INDEX('Boundary'!$B$6:$B$35,IF(24='Boundary'!$F$10,1,24+1)))*F29,0)</f>
        <v/>
      </c>
    </row>
    <row r="30">
      <c r="A30" s="15">
        <f>IF(25&lt;='Boundary'!$F$10,'Boundary'!A30,"")</f>
        <v/>
      </c>
      <c r="B30" s="19">
        <f>IF(AND(25&lt;='Boundary'!$F$10,OR('Boundary'!$F$5="Yes",25&lt;'Boundary'!$F$10)),SQRT((INDEX('Boundary'!$B$6:$B$35,IF(25='Boundary'!$F$10,1,25+1))-'Boundary'!B30)^2+(INDEX('Boundary'!$C$6:$C$35,IF(25='Boundary'!$F$10,1,25+1))-'Boundary'!C30)^2),"")</f>
        <v/>
      </c>
      <c r="C30" s="18">
        <f>IF(AND(25&lt;='Boundary'!$F$10,OR('Boundary'!$F$5="Yes",25&lt;'Boundary'!$F$10)),MOD(DEGREES(ATAN2((INDEX('Boundary'!$B$6:$B$35,IF(25='Boundary'!$F$10,1,25+1))-'Boundary'!B30),(INDEX('Boundary'!$C$6:$C$35,IF(25='Boundary'!$F$10,1,25+1))-'Boundary'!C30))),360),"")</f>
        <v/>
      </c>
      <c r="D30" s="15">
        <f>IF(AND(25&lt;='Boundary'!$F$10,OR('Boundary'!$F$5="Yes",25&lt;'Boundary'!$F$10)),INT(MOD(ROUND(MOD(C30,360)*3600,0),1296000)/3600)&amp;"°"&amp;TEXT(INT(MOD(MOD(ROUND(MOD(C30,360)*3600,0),1296000),3600)/60),"00")&amp;"'"&amp;TEXT(MOD(MOD(ROUND(MOD(C30,360)*3600,0),1296000),60),"00")&amp;"""","")</f>
        <v/>
      </c>
      <c r="E30" s="20">
        <f>IF(AND(25&lt;='Boundary'!$F$10,OR('Boundary'!$F$5="Yes",25&lt;'Boundary'!$F$10)),IF(AND(MOD(DEGREES(ATAN2((INDEX('Boundary'!$C$6:$C$35,IF(25='Boundary'!$F$10,1,25+1))-'Boundary'!C30),(INDEX('Boundary'!$B$6:$B$35,IF(25='Boundary'!$F$10,1,25+1))-'Boundary'!B30))),360)&gt;90,MOD(DEGREES(ATAN2((INDEX('Boundary'!$C$6:$C$35,IF(25='Boundary'!$F$10,1,25+1))-'Boundary'!C30),(INDEX('Boundary'!$B$6:$B$35,IF(25='Boundary'!$F$10,1,25+1))-'Boundary'!B30))),360)&lt;=270),MOD(DEGREES(ATAN2((INDEX('Boundary'!$C$6:$C$35,IF(25='Boundary'!$F$10,1,25+1))-'Boundary'!C30),(INDEX('Boundary'!$B$6:$B$35,IF(25='Boundary'!$F$10,1,25+1))-'Boundary'!B30))),360)-180,MOD(DEGREES(ATAN2((INDEX('Boundary'!$C$6:$C$35,IF(25='Boundary'!$F$10,1,25+1))-'Boundary'!C30),(INDEX('Boundary'!$B$6:$B$35,IF(25='Boundary'!$F$10,1,25+1))-'Boundary'!B30))),360)),"")</f>
        <v/>
      </c>
      <c r="F30" s="19">
        <f>IF(25&lt;='Boundary'!$F$10,'Boundary'!C30*INDEX('Boundary'!$B$6:$B$35,IF(25='Boundary'!$F$10,1,25+1))-INDEX('Boundary'!$C$6:$C$35,IF(25='Boundary'!$F$10,1,25+1))*'Boundary'!B30,0)</f>
        <v/>
      </c>
      <c r="G30" s="19">
        <f>IF(AND(25&lt;='Boundary'!$F$10,OR('Boundary'!$F$5="Yes",25&lt;'Boundary'!$F$10)),('Boundary'!C30+INDEX('Boundary'!$C$6:$C$35,IF(25='Boundary'!$F$10,1,25+1)))/2,"")</f>
        <v/>
      </c>
      <c r="H30" s="19">
        <f>IF(AND(25&lt;='Boundary'!$F$10,OR('Boundary'!$F$5="Yes",25&lt;'Boundary'!$F$10)),('Boundary'!B30+INDEX('Boundary'!$B$6:$B$35,IF(25='Boundary'!$F$10,1,25+1)))/2,"")</f>
        <v/>
      </c>
      <c r="I30" s="19">
        <f>IF(AND(25&lt;='Boundary'!$F$10,OR('Boundary'!$F$5="Yes",25&lt;'Boundary'!$F$10)),G30-0.8*'Boundary'!$F$6*SIN(RADIANS(E30)),"")</f>
        <v/>
      </c>
      <c r="J30" s="19">
        <f>IF(AND(25&lt;='Boundary'!$F$10,OR('Boundary'!$F$5="Yes",25&lt;'Boundary'!$F$10)),H30+0.8*'Boundary'!$F$6*COS(RADIANS(E30)),"")</f>
        <v/>
      </c>
      <c r="K30" s="15">
        <f>IF(25&lt;='Boundary'!$F$10,K29&amp;" "&amp;SUBSTITUTE(ROUND('Boundary'!C30,3)&amp;"",",",".")&amp;","&amp;SUBSTITUTE(ROUND('Boundary'!B30,3)&amp;"",",","."),K29)</f>
        <v/>
      </c>
      <c r="L30" s="19">
        <f>IF(25&lt;='Boundary'!$F$10,('Boundary'!C30+INDEX('Boundary'!$C$6:$C$35,IF(25='Boundary'!$F$10,1,25+1)))*F30,0)</f>
        <v/>
      </c>
      <c r="M30" s="19">
        <f>IF(25&lt;='Boundary'!$F$10,('Boundary'!B30+INDEX('Boundary'!$B$6:$B$35,IF(25='Boundary'!$F$10,1,25+1)))*F30,0)</f>
        <v/>
      </c>
    </row>
    <row r="31">
      <c r="A31" s="15">
        <f>IF(26&lt;='Boundary'!$F$10,'Boundary'!A31,"")</f>
        <v/>
      </c>
      <c r="B31" s="19">
        <f>IF(AND(26&lt;='Boundary'!$F$10,OR('Boundary'!$F$5="Yes",26&lt;'Boundary'!$F$10)),SQRT((INDEX('Boundary'!$B$6:$B$35,IF(26='Boundary'!$F$10,1,26+1))-'Boundary'!B31)^2+(INDEX('Boundary'!$C$6:$C$35,IF(26='Boundary'!$F$10,1,26+1))-'Boundary'!C31)^2),"")</f>
        <v/>
      </c>
      <c r="C31" s="18">
        <f>IF(AND(26&lt;='Boundary'!$F$10,OR('Boundary'!$F$5="Yes",26&lt;'Boundary'!$F$10)),MOD(DEGREES(ATAN2((INDEX('Boundary'!$B$6:$B$35,IF(26='Boundary'!$F$10,1,26+1))-'Boundary'!B31),(INDEX('Boundary'!$C$6:$C$35,IF(26='Boundary'!$F$10,1,26+1))-'Boundary'!C31))),360),"")</f>
        <v/>
      </c>
      <c r="D31" s="15">
        <f>IF(AND(26&lt;='Boundary'!$F$10,OR('Boundary'!$F$5="Yes",26&lt;'Boundary'!$F$10)),INT(MOD(ROUND(MOD(C31,360)*3600,0),1296000)/3600)&amp;"°"&amp;TEXT(INT(MOD(MOD(ROUND(MOD(C31,360)*3600,0),1296000),3600)/60),"00")&amp;"'"&amp;TEXT(MOD(MOD(ROUND(MOD(C31,360)*3600,0),1296000),60),"00")&amp;"""","")</f>
        <v/>
      </c>
      <c r="E31" s="20">
        <f>IF(AND(26&lt;='Boundary'!$F$10,OR('Boundary'!$F$5="Yes",26&lt;'Boundary'!$F$10)),IF(AND(MOD(DEGREES(ATAN2((INDEX('Boundary'!$C$6:$C$35,IF(26='Boundary'!$F$10,1,26+1))-'Boundary'!C31),(INDEX('Boundary'!$B$6:$B$35,IF(26='Boundary'!$F$10,1,26+1))-'Boundary'!B31))),360)&gt;90,MOD(DEGREES(ATAN2((INDEX('Boundary'!$C$6:$C$35,IF(26='Boundary'!$F$10,1,26+1))-'Boundary'!C31),(INDEX('Boundary'!$B$6:$B$35,IF(26='Boundary'!$F$10,1,26+1))-'Boundary'!B31))),360)&lt;=270),MOD(DEGREES(ATAN2((INDEX('Boundary'!$C$6:$C$35,IF(26='Boundary'!$F$10,1,26+1))-'Boundary'!C31),(INDEX('Boundary'!$B$6:$B$35,IF(26='Boundary'!$F$10,1,26+1))-'Boundary'!B31))),360)-180,MOD(DEGREES(ATAN2((INDEX('Boundary'!$C$6:$C$35,IF(26='Boundary'!$F$10,1,26+1))-'Boundary'!C31),(INDEX('Boundary'!$B$6:$B$35,IF(26='Boundary'!$F$10,1,26+1))-'Boundary'!B31))),360)),"")</f>
        <v/>
      </c>
      <c r="F31" s="19">
        <f>IF(26&lt;='Boundary'!$F$10,'Boundary'!C31*INDEX('Boundary'!$B$6:$B$35,IF(26='Boundary'!$F$10,1,26+1))-INDEX('Boundary'!$C$6:$C$35,IF(26='Boundary'!$F$10,1,26+1))*'Boundary'!B31,0)</f>
        <v/>
      </c>
      <c r="G31" s="19">
        <f>IF(AND(26&lt;='Boundary'!$F$10,OR('Boundary'!$F$5="Yes",26&lt;'Boundary'!$F$10)),('Boundary'!C31+INDEX('Boundary'!$C$6:$C$35,IF(26='Boundary'!$F$10,1,26+1)))/2,"")</f>
        <v/>
      </c>
      <c r="H31" s="19">
        <f>IF(AND(26&lt;='Boundary'!$F$10,OR('Boundary'!$F$5="Yes",26&lt;'Boundary'!$F$10)),('Boundary'!B31+INDEX('Boundary'!$B$6:$B$35,IF(26='Boundary'!$F$10,1,26+1)))/2,"")</f>
        <v/>
      </c>
      <c r="I31" s="19">
        <f>IF(AND(26&lt;='Boundary'!$F$10,OR('Boundary'!$F$5="Yes",26&lt;'Boundary'!$F$10)),G31-0.8*'Boundary'!$F$6*SIN(RADIANS(E31)),"")</f>
        <v/>
      </c>
      <c r="J31" s="19">
        <f>IF(AND(26&lt;='Boundary'!$F$10,OR('Boundary'!$F$5="Yes",26&lt;'Boundary'!$F$10)),H31+0.8*'Boundary'!$F$6*COS(RADIANS(E31)),"")</f>
        <v/>
      </c>
      <c r="K31" s="15">
        <f>IF(26&lt;='Boundary'!$F$10,K30&amp;" "&amp;SUBSTITUTE(ROUND('Boundary'!C31,3)&amp;"",",",".")&amp;","&amp;SUBSTITUTE(ROUND('Boundary'!B31,3)&amp;"",",","."),K30)</f>
        <v/>
      </c>
      <c r="L31" s="19">
        <f>IF(26&lt;='Boundary'!$F$10,('Boundary'!C31+INDEX('Boundary'!$C$6:$C$35,IF(26='Boundary'!$F$10,1,26+1)))*F31,0)</f>
        <v/>
      </c>
      <c r="M31" s="19">
        <f>IF(26&lt;='Boundary'!$F$10,('Boundary'!B31+INDEX('Boundary'!$B$6:$B$35,IF(26='Boundary'!$F$10,1,26+1)))*F31,0)</f>
        <v/>
      </c>
    </row>
    <row r="32">
      <c r="A32" s="15">
        <f>IF(27&lt;='Boundary'!$F$10,'Boundary'!A32,"")</f>
        <v/>
      </c>
      <c r="B32" s="19">
        <f>IF(AND(27&lt;='Boundary'!$F$10,OR('Boundary'!$F$5="Yes",27&lt;'Boundary'!$F$10)),SQRT((INDEX('Boundary'!$B$6:$B$35,IF(27='Boundary'!$F$10,1,27+1))-'Boundary'!B32)^2+(INDEX('Boundary'!$C$6:$C$35,IF(27='Boundary'!$F$10,1,27+1))-'Boundary'!C32)^2),"")</f>
        <v/>
      </c>
      <c r="C32" s="18">
        <f>IF(AND(27&lt;='Boundary'!$F$10,OR('Boundary'!$F$5="Yes",27&lt;'Boundary'!$F$10)),MOD(DEGREES(ATAN2((INDEX('Boundary'!$B$6:$B$35,IF(27='Boundary'!$F$10,1,27+1))-'Boundary'!B32),(INDEX('Boundary'!$C$6:$C$35,IF(27='Boundary'!$F$10,1,27+1))-'Boundary'!C32))),360),"")</f>
        <v/>
      </c>
      <c r="D32" s="15">
        <f>IF(AND(27&lt;='Boundary'!$F$10,OR('Boundary'!$F$5="Yes",27&lt;'Boundary'!$F$10)),INT(MOD(ROUND(MOD(C32,360)*3600,0),1296000)/3600)&amp;"°"&amp;TEXT(INT(MOD(MOD(ROUND(MOD(C32,360)*3600,0),1296000),3600)/60),"00")&amp;"'"&amp;TEXT(MOD(MOD(ROUND(MOD(C32,360)*3600,0),1296000),60),"00")&amp;"""","")</f>
        <v/>
      </c>
      <c r="E32" s="20">
        <f>IF(AND(27&lt;='Boundary'!$F$10,OR('Boundary'!$F$5="Yes",27&lt;'Boundary'!$F$10)),IF(AND(MOD(DEGREES(ATAN2((INDEX('Boundary'!$C$6:$C$35,IF(27='Boundary'!$F$10,1,27+1))-'Boundary'!C32),(INDEX('Boundary'!$B$6:$B$35,IF(27='Boundary'!$F$10,1,27+1))-'Boundary'!B32))),360)&gt;90,MOD(DEGREES(ATAN2((INDEX('Boundary'!$C$6:$C$35,IF(27='Boundary'!$F$10,1,27+1))-'Boundary'!C32),(INDEX('Boundary'!$B$6:$B$35,IF(27='Boundary'!$F$10,1,27+1))-'Boundary'!B32))),360)&lt;=270),MOD(DEGREES(ATAN2((INDEX('Boundary'!$C$6:$C$35,IF(27='Boundary'!$F$10,1,27+1))-'Boundary'!C32),(INDEX('Boundary'!$B$6:$B$35,IF(27='Boundary'!$F$10,1,27+1))-'Boundary'!B32))),360)-180,MOD(DEGREES(ATAN2((INDEX('Boundary'!$C$6:$C$35,IF(27='Boundary'!$F$10,1,27+1))-'Boundary'!C32),(INDEX('Boundary'!$B$6:$B$35,IF(27='Boundary'!$F$10,1,27+1))-'Boundary'!B32))),360)),"")</f>
        <v/>
      </c>
      <c r="F32" s="19">
        <f>IF(27&lt;='Boundary'!$F$10,'Boundary'!C32*INDEX('Boundary'!$B$6:$B$35,IF(27='Boundary'!$F$10,1,27+1))-INDEX('Boundary'!$C$6:$C$35,IF(27='Boundary'!$F$10,1,27+1))*'Boundary'!B32,0)</f>
        <v/>
      </c>
      <c r="G32" s="19">
        <f>IF(AND(27&lt;='Boundary'!$F$10,OR('Boundary'!$F$5="Yes",27&lt;'Boundary'!$F$10)),('Boundary'!C32+INDEX('Boundary'!$C$6:$C$35,IF(27='Boundary'!$F$10,1,27+1)))/2,"")</f>
        <v/>
      </c>
      <c r="H32" s="19">
        <f>IF(AND(27&lt;='Boundary'!$F$10,OR('Boundary'!$F$5="Yes",27&lt;'Boundary'!$F$10)),('Boundary'!B32+INDEX('Boundary'!$B$6:$B$35,IF(27='Boundary'!$F$10,1,27+1)))/2,"")</f>
        <v/>
      </c>
      <c r="I32" s="19">
        <f>IF(AND(27&lt;='Boundary'!$F$10,OR('Boundary'!$F$5="Yes",27&lt;'Boundary'!$F$10)),G32-0.8*'Boundary'!$F$6*SIN(RADIANS(E32)),"")</f>
        <v/>
      </c>
      <c r="J32" s="19">
        <f>IF(AND(27&lt;='Boundary'!$F$10,OR('Boundary'!$F$5="Yes",27&lt;'Boundary'!$F$10)),H32+0.8*'Boundary'!$F$6*COS(RADIANS(E32)),"")</f>
        <v/>
      </c>
      <c r="K32" s="15">
        <f>IF(27&lt;='Boundary'!$F$10,K31&amp;" "&amp;SUBSTITUTE(ROUND('Boundary'!C32,3)&amp;"",",",".")&amp;","&amp;SUBSTITUTE(ROUND('Boundary'!B32,3)&amp;"",",","."),K31)</f>
        <v/>
      </c>
      <c r="L32" s="19">
        <f>IF(27&lt;='Boundary'!$F$10,('Boundary'!C32+INDEX('Boundary'!$C$6:$C$35,IF(27='Boundary'!$F$10,1,27+1)))*F32,0)</f>
        <v/>
      </c>
      <c r="M32" s="19">
        <f>IF(27&lt;='Boundary'!$F$10,('Boundary'!B32+INDEX('Boundary'!$B$6:$B$35,IF(27='Boundary'!$F$10,1,27+1)))*F32,0)</f>
        <v/>
      </c>
    </row>
    <row r="33">
      <c r="A33" s="15">
        <f>IF(28&lt;='Boundary'!$F$10,'Boundary'!A33,"")</f>
        <v/>
      </c>
      <c r="B33" s="19">
        <f>IF(AND(28&lt;='Boundary'!$F$10,OR('Boundary'!$F$5="Yes",28&lt;'Boundary'!$F$10)),SQRT((INDEX('Boundary'!$B$6:$B$35,IF(28='Boundary'!$F$10,1,28+1))-'Boundary'!B33)^2+(INDEX('Boundary'!$C$6:$C$35,IF(28='Boundary'!$F$10,1,28+1))-'Boundary'!C33)^2),"")</f>
        <v/>
      </c>
      <c r="C33" s="18">
        <f>IF(AND(28&lt;='Boundary'!$F$10,OR('Boundary'!$F$5="Yes",28&lt;'Boundary'!$F$10)),MOD(DEGREES(ATAN2((INDEX('Boundary'!$B$6:$B$35,IF(28='Boundary'!$F$10,1,28+1))-'Boundary'!B33),(INDEX('Boundary'!$C$6:$C$35,IF(28='Boundary'!$F$10,1,28+1))-'Boundary'!C33))),360),"")</f>
        <v/>
      </c>
      <c r="D33" s="15">
        <f>IF(AND(28&lt;='Boundary'!$F$10,OR('Boundary'!$F$5="Yes",28&lt;'Boundary'!$F$10)),INT(MOD(ROUND(MOD(C33,360)*3600,0),1296000)/3600)&amp;"°"&amp;TEXT(INT(MOD(MOD(ROUND(MOD(C33,360)*3600,0),1296000),3600)/60),"00")&amp;"'"&amp;TEXT(MOD(MOD(ROUND(MOD(C33,360)*3600,0),1296000),60),"00")&amp;"""","")</f>
        <v/>
      </c>
      <c r="E33" s="20">
        <f>IF(AND(28&lt;='Boundary'!$F$10,OR('Boundary'!$F$5="Yes",28&lt;'Boundary'!$F$10)),IF(AND(MOD(DEGREES(ATAN2((INDEX('Boundary'!$C$6:$C$35,IF(28='Boundary'!$F$10,1,28+1))-'Boundary'!C33),(INDEX('Boundary'!$B$6:$B$35,IF(28='Boundary'!$F$10,1,28+1))-'Boundary'!B33))),360)&gt;90,MOD(DEGREES(ATAN2((INDEX('Boundary'!$C$6:$C$35,IF(28='Boundary'!$F$10,1,28+1))-'Boundary'!C33),(INDEX('Boundary'!$B$6:$B$35,IF(28='Boundary'!$F$10,1,28+1))-'Boundary'!B33))),360)&lt;=270),MOD(DEGREES(ATAN2((INDEX('Boundary'!$C$6:$C$35,IF(28='Boundary'!$F$10,1,28+1))-'Boundary'!C33),(INDEX('Boundary'!$B$6:$B$35,IF(28='Boundary'!$F$10,1,28+1))-'Boundary'!B33))),360)-180,MOD(DEGREES(ATAN2((INDEX('Boundary'!$C$6:$C$35,IF(28='Boundary'!$F$10,1,28+1))-'Boundary'!C33),(INDEX('Boundary'!$B$6:$B$35,IF(28='Boundary'!$F$10,1,28+1))-'Boundary'!B33))),360)),"")</f>
        <v/>
      </c>
      <c r="F33" s="19">
        <f>IF(28&lt;='Boundary'!$F$10,'Boundary'!C33*INDEX('Boundary'!$B$6:$B$35,IF(28='Boundary'!$F$10,1,28+1))-INDEX('Boundary'!$C$6:$C$35,IF(28='Boundary'!$F$10,1,28+1))*'Boundary'!B33,0)</f>
        <v/>
      </c>
      <c r="G33" s="19">
        <f>IF(AND(28&lt;='Boundary'!$F$10,OR('Boundary'!$F$5="Yes",28&lt;'Boundary'!$F$10)),('Boundary'!C33+INDEX('Boundary'!$C$6:$C$35,IF(28='Boundary'!$F$10,1,28+1)))/2,"")</f>
        <v/>
      </c>
      <c r="H33" s="19">
        <f>IF(AND(28&lt;='Boundary'!$F$10,OR('Boundary'!$F$5="Yes",28&lt;'Boundary'!$F$10)),('Boundary'!B33+INDEX('Boundary'!$B$6:$B$35,IF(28='Boundary'!$F$10,1,28+1)))/2,"")</f>
        <v/>
      </c>
      <c r="I33" s="19">
        <f>IF(AND(28&lt;='Boundary'!$F$10,OR('Boundary'!$F$5="Yes",28&lt;'Boundary'!$F$10)),G33-0.8*'Boundary'!$F$6*SIN(RADIANS(E33)),"")</f>
        <v/>
      </c>
      <c r="J33" s="19">
        <f>IF(AND(28&lt;='Boundary'!$F$10,OR('Boundary'!$F$5="Yes",28&lt;'Boundary'!$F$10)),H33+0.8*'Boundary'!$F$6*COS(RADIANS(E33)),"")</f>
        <v/>
      </c>
      <c r="K33" s="15">
        <f>IF(28&lt;='Boundary'!$F$10,K32&amp;" "&amp;SUBSTITUTE(ROUND('Boundary'!C33,3)&amp;"",",",".")&amp;","&amp;SUBSTITUTE(ROUND('Boundary'!B33,3)&amp;"",",","."),K32)</f>
        <v/>
      </c>
      <c r="L33" s="19">
        <f>IF(28&lt;='Boundary'!$F$10,('Boundary'!C33+INDEX('Boundary'!$C$6:$C$35,IF(28='Boundary'!$F$10,1,28+1)))*F33,0)</f>
        <v/>
      </c>
      <c r="M33" s="19">
        <f>IF(28&lt;='Boundary'!$F$10,('Boundary'!B33+INDEX('Boundary'!$B$6:$B$35,IF(28='Boundary'!$F$10,1,28+1)))*F33,0)</f>
        <v/>
      </c>
    </row>
    <row r="34">
      <c r="A34" s="15">
        <f>IF(29&lt;='Boundary'!$F$10,'Boundary'!A34,"")</f>
        <v/>
      </c>
      <c r="B34" s="19">
        <f>IF(AND(29&lt;='Boundary'!$F$10,OR('Boundary'!$F$5="Yes",29&lt;'Boundary'!$F$10)),SQRT((INDEX('Boundary'!$B$6:$B$35,IF(29='Boundary'!$F$10,1,29+1))-'Boundary'!B34)^2+(INDEX('Boundary'!$C$6:$C$35,IF(29='Boundary'!$F$10,1,29+1))-'Boundary'!C34)^2),"")</f>
        <v/>
      </c>
      <c r="C34" s="18">
        <f>IF(AND(29&lt;='Boundary'!$F$10,OR('Boundary'!$F$5="Yes",29&lt;'Boundary'!$F$10)),MOD(DEGREES(ATAN2((INDEX('Boundary'!$B$6:$B$35,IF(29='Boundary'!$F$10,1,29+1))-'Boundary'!B34),(INDEX('Boundary'!$C$6:$C$35,IF(29='Boundary'!$F$10,1,29+1))-'Boundary'!C34))),360),"")</f>
        <v/>
      </c>
      <c r="D34" s="15">
        <f>IF(AND(29&lt;='Boundary'!$F$10,OR('Boundary'!$F$5="Yes",29&lt;'Boundary'!$F$10)),INT(MOD(ROUND(MOD(C34,360)*3600,0),1296000)/3600)&amp;"°"&amp;TEXT(INT(MOD(MOD(ROUND(MOD(C34,360)*3600,0),1296000),3600)/60),"00")&amp;"'"&amp;TEXT(MOD(MOD(ROUND(MOD(C34,360)*3600,0),1296000),60),"00")&amp;"""","")</f>
        <v/>
      </c>
      <c r="E34" s="20">
        <f>IF(AND(29&lt;='Boundary'!$F$10,OR('Boundary'!$F$5="Yes",29&lt;'Boundary'!$F$10)),IF(AND(MOD(DEGREES(ATAN2((INDEX('Boundary'!$C$6:$C$35,IF(29='Boundary'!$F$10,1,29+1))-'Boundary'!C34),(INDEX('Boundary'!$B$6:$B$35,IF(29='Boundary'!$F$10,1,29+1))-'Boundary'!B34))),360)&gt;90,MOD(DEGREES(ATAN2((INDEX('Boundary'!$C$6:$C$35,IF(29='Boundary'!$F$10,1,29+1))-'Boundary'!C34),(INDEX('Boundary'!$B$6:$B$35,IF(29='Boundary'!$F$10,1,29+1))-'Boundary'!B34))),360)&lt;=270),MOD(DEGREES(ATAN2((INDEX('Boundary'!$C$6:$C$35,IF(29='Boundary'!$F$10,1,29+1))-'Boundary'!C34),(INDEX('Boundary'!$B$6:$B$35,IF(29='Boundary'!$F$10,1,29+1))-'Boundary'!B34))),360)-180,MOD(DEGREES(ATAN2((INDEX('Boundary'!$C$6:$C$35,IF(29='Boundary'!$F$10,1,29+1))-'Boundary'!C34),(INDEX('Boundary'!$B$6:$B$35,IF(29='Boundary'!$F$10,1,29+1))-'Boundary'!B34))),360)),"")</f>
        <v/>
      </c>
      <c r="F34" s="19">
        <f>IF(29&lt;='Boundary'!$F$10,'Boundary'!C34*INDEX('Boundary'!$B$6:$B$35,IF(29='Boundary'!$F$10,1,29+1))-INDEX('Boundary'!$C$6:$C$35,IF(29='Boundary'!$F$10,1,29+1))*'Boundary'!B34,0)</f>
        <v/>
      </c>
      <c r="G34" s="19">
        <f>IF(AND(29&lt;='Boundary'!$F$10,OR('Boundary'!$F$5="Yes",29&lt;'Boundary'!$F$10)),('Boundary'!C34+INDEX('Boundary'!$C$6:$C$35,IF(29='Boundary'!$F$10,1,29+1)))/2,"")</f>
        <v/>
      </c>
      <c r="H34" s="19">
        <f>IF(AND(29&lt;='Boundary'!$F$10,OR('Boundary'!$F$5="Yes",29&lt;'Boundary'!$F$10)),('Boundary'!B34+INDEX('Boundary'!$B$6:$B$35,IF(29='Boundary'!$F$10,1,29+1)))/2,"")</f>
        <v/>
      </c>
      <c r="I34" s="19">
        <f>IF(AND(29&lt;='Boundary'!$F$10,OR('Boundary'!$F$5="Yes",29&lt;'Boundary'!$F$10)),G34-0.8*'Boundary'!$F$6*SIN(RADIANS(E34)),"")</f>
        <v/>
      </c>
      <c r="J34" s="19">
        <f>IF(AND(29&lt;='Boundary'!$F$10,OR('Boundary'!$F$5="Yes",29&lt;'Boundary'!$F$10)),H34+0.8*'Boundary'!$F$6*COS(RADIANS(E34)),"")</f>
        <v/>
      </c>
      <c r="K34" s="15">
        <f>IF(29&lt;='Boundary'!$F$10,K33&amp;" "&amp;SUBSTITUTE(ROUND('Boundary'!C34,3)&amp;"",",",".")&amp;","&amp;SUBSTITUTE(ROUND('Boundary'!B34,3)&amp;"",",","."),K33)</f>
        <v/>
      </c>
      <c r="L34" s="19">
        <f>IF(29&lt;='Boundary'!$F$10,('Boundary'!C34+INDEX('Boundary'!$C$6:$C$35,IF(29='Boundary'!$F$10,1,29+1)))*F34,0)</f>
        <v/>
      </c>
      <c r="M34" s="19">
        <f>IF(29&lt;='Boundary'!$F$10,('Boundary'!B34+INDEX('Boundary'!$B$6:$B$35,IF(29='Boundary'!$F$10,1,29+1)))*F34,0)</f>
        <v/>
      </c>
    </row>
    <row r="35">
      <c r="A35" s="15">
        <f>IF(30&lt;='Boundary'!$F$10,'Boundary'!A35,"")</f>
        <v/>
      </c>
      <c r="B35" s="19">
        <f>IF(AND(30&lt;='Boundary'!$F$10,OR('Boundary'!$F$5="Yes",30&lt;'Boundary'!$F$10)),SQRT((INDEX('Boundary'!$B$6:$B$35,IF(30='Boundary'!$F$10,1,30+1))-'Boundary'!B35)^2+(INDEX('Boundary'!$C$6:$C$35,IF(30='Boundary'!$F$10,1,30+1))-'Boundary'!C35)^2),"")</f>
        <v/>
      </c>
      <c r="C35" s="18">
        <f>IF(AND(30&lt;='Boundary'!$F$10,OR('Boundary'!$F$5="Yes",30&lt;'Boundary'!$F$10)),MOD(DEGREES(ATAN2((INDEX('Boundary'!$B$6:$B$35,IF(30='Boundary'!$F$10,1,30+1))-'Boundary'!B35),(INDEX('Boundary'!$C$6:$C$35,IF(30='Boundary'!$F$10,1,30+1))-'Boundary'!C35))),360),"")</f>
        <v/>
      </c>
      <c r="D35" s="15">
        <f>IF(AND(30&lt;='Boundary'!$F$10,OR('Boundary'!$F$5="Yes",30&lt;'Boundary'!$F$10)),INT(MOD(ROUND(MOD(C35,360)*3600,0),1296000)/3600)&amp;"°"&amp;TEXT(INT(MOD(MOD(ROUND(MOD(C35,360)*3600,0),1296000),3600)/60),"00")&amp;"'"&amp;TEXT(MOD(MOD(ROUND(MOD(C35,360)*3600,0),1296000),60),"00")&amp;"""","")</f>
        <v/>
      </c>
      <c r="E35" s="20">
        <f>IF(AND(30&lt;='Boundary'!$F$10,OR('Boundary'!$F$5="Yes",30&lt;'Boundary'!$F$10)),IF(AND(MOD(DEGREES(ATAN2((INDEX('Boundary'!$C$6:$C$35,IF(30='Boundary'!$F$10,1,30+1))-'Boundary'!C35),(INDEX('Boundary'!$B$6:$B$35,IF(30='Boundary'!$F$10,1,30+1))-'Boundary'!B35))),360)&gt;90,MOD(DEGREES(ATAN2((INDEX('Boundary'!$C$6:$C$35,IF(30='Boundary'!$F$10,1,30+1))-'Boundary'!C35),(INDEX('Boundary'!$B$6:$B$35,IF(30='Boundary'!$F$10,1,30+1))-'Boundary'!B35))),360)&lt;=270),MOD(DEGREES(ATAN2((INDEX('Boundary'!$C$6:$C$35,IF(30='Boundary'!$F$10,1,30+1))-'Boundary'!C35),(INDEX('Boundary'!$B$6:$B$35,IF(30='Boundary'!$F$10,1,30+1))-'Boundary'!B35))),360)-180,MOD(DEGREES(ATAN2((INDEX('Boundary'!$C$6:$C$35,IF(30='Boundary'!$F$10,1,30+1))-'Boundary'!C35),(INDEX('Boundary'!$B$6:$B$35,IF(30='Boundary'!$F$10,1,30+1))-'Boundary'!B35))),360)),"")</f>
        <v/>
      </c>
      <c r="F35" s="19">
        <f>IF(30&lt;='Boundary'!$F$10,'Boundary'!C35*INDEX('Boundary'!$B$6:$B$35,IF(30='Boundary'!$F$10,1,30+1))-INDEX('Boundary'!$C$6:$C$35,IF(30='Boundary'!$F$10,1,30+1))*'Boundary'!B35,0)</f>
        <v/>
      </c>
      <c r="G35" s="19">
        <f>IF(AND(30&lt;='Boundary'!$F$10,OR('Boundary'!$F$5="Yes",30&lt;'Boundary'!$F$10)),('Boundary'!C35+INDEX('Boundary'!$C$6:$C$35,IF(30='Boundary'!$F$10,1,30+1)))/2,"")</f>
        <v/>
      </c>
      <c r="H35" s="19">
        <f>IF(AND(30&lt;='Boundary'!$F$10,OR('Boundary'!$F$5="Yes",30&lt;'Boundary'!$F$10)),('Boundary'!B35+INDEX('Boundary'!$B$6:$B$35,IF(30='Boundary'!$F$10,1,30+1)))/2,"")</f>
        <v/>
      </c>
      <c r="I35" s="19">
        <f>IF(AND(30&lt;='Boundary'!$F$10,OR('Boundary'!$F$5="Yes",30&lt;'Boundary'!$F$10)),G35-0.8*'Boundary'!$F$6*SIN(RADIANS(E35)),"")</f>
        <v/>
      </c>
      <c r="J35" s="19">
        <f>IF(AND(30&lt;='Boundary'!$F$10,OR('Boundary'!$F$5="Yes",30&lt;'Boundary'!$F$10)),H35+0.8*'Boundary'!$F$6*COS(RADIANS(E35)),"")</f>
        <v/>
      </c>
      <c r="K35" s="15">
        <f>IF(30&lt;='Boundary'!$F$10,K34&amp;" "&amp;SUBSTITUTE(ROUND('Boundary'!C35,3)&amp;"",",",".")&amp;","&amp;SUBSTITUTE(ROUND('Boundary'!B35,3)&amp;"",",","."),K34)</f>
        <v/>
      </c>
      <c r="L35" s="19">
        <f>IF(30&lt;='Boundary'!$F$10,('Boundary'!C35+INDEX('Boundary'!$C$6:$C$35,IF(30='Boundary'!$F$10,1,30+1)))*F35,0)</f>
        <v/>
      </c>
      <c r="M35" s="19">
        <f>IF(30&lt;='Boundary'!$F$10,('Boundary'!B35+INDEX('Boundary'!$B$6:$B$35,IF(30='Boundary'!$F$10,1,30+1)))*F35,0)</f>
        <v/>
      </c>
    </row>
  </sheetData>
  <sheetProtection selectLockedCells="0" selectUnlockedCells="0" sheet="1" objects="0" insertRows="1" insertHyperlinks="1" autoFilter="0" scenarios="0" formatColumns="0" deleteColumns="1" insertColumns="1" pivotTables="1" deleteRows="1" formatCells="0" formatRows="0" sort="0"/>
  <mergeCells count="2">
    <mergeCell ref="A2:M2"/>
    <mergeCell ref="A1:M1"/>
  </mergeCells>
  <printOptions horizontalCentered="1"/>
  <pageMargins left="0.4" right="0.4" top="1" bottom="1" header="0.5" footer="0.5"/>
  <pageSetup paperSize="9" fitToHeight="0" fitToWidth="1"/>
  <headerFooter>
    <oddHeader/>
    <oddFooter>&amp;CSheetaky.com</oddFooter>
    <evenHeader/>
    <evenFooter/>
    <firstHeader/>
    <firstFooter/>
  </headerFooter>
</worksheet>
</file>

<file path=xl/worksheets/sheet3.xml><?xml version="1.0" encoding="utf-8"?>
<worksheet xmlns="http://schemas.openxmlformats.org/spreadsheetml/2006/main">
  <sheetPr>
    <tabColor rgb="0017603A"/>
    <outlinePr summaryBelow="1" summaryRight="1"/>
    <pageSetUpPr fitToPage="1"/>
  </sheetPr>
  <dimension ref="A1:B43"/>
  <sheetViews>
    <sheetView showGridLines="0" rightToLeft="0" zoomScale="100" workbookViewId="0">
      <selection activeCell="A1" sqref="A1"/>
    </sheetView>
  </sheetViews>
  <sheetFormatPr baseColWidth="8" defaultRowHeight="15"/>
  <cols>
    <col width="120" customWidth="1" min="1" max="1"/>
    <col width="48" customWidth="1" min="2" max="2"/>
  </cols>
  <sheetData>
    <row r="1" ht="36" customHeight="1">
      <c r="A1" s="1" t="inlineStr">
        <is>
          <t>Ready AutoCAD commands</t>
        </is>
      </c>
      <c r="B1" s="2" t="n"/>
    </row>
    <row r="2" ht="18" customHeight="1">
      <c r="A2" s="3" t="inlineStr">
        <is>
          <t>Copy the whole cell and paste into the AutoCAD command line</t>
        </is>
      </c>
      <c r="B2" s="4" t="n"/>
    </row>
    <row r="3"/>
    <row r="4" ht="22" customHeight="1">
      <c r="A4" s="5" t="inlineStr">
        <is>
          <t>1) One polyline (PLINE) through all corners</t>
        </is>
      </c>
      <c r="B4" s="6" t="n"/>
    </row>
    <row r="5">
      <c r="A5" s="21">
        <f>"-LAYER M "&amp;'Boundary'!$F$7&amp;" "</f>
        <v/>
      </c>
      <c r="B5" s="22" t="inlineStr">
        <is>
          <t>First: set the layer (the trailing space acts as Enter)</t>
        </is>
      </c>
    </row>
    <row r="6">
      <c r="A6" s="21">
        <f>"PLINE"&amp;'Sides'!$K$35&amp;IF('Boundary'!$F$5="Yes"," C"," ")</f>
        <v/>
      </c>
      <c r="B6" s="22" t="inlineStr">
        <is>
          <t>Then: the polyline (C = close)</t>
        </is>
      </c>
    </row>
    <row r="7"/>
    <row r="8" ht="22" customHeight="1">
      <c r="A8" s="5" t="inlineStr">
        <is>
          <t>2) Side lengths as text along each side (-TEXT)</t>
        </is>
      </c>
      <c r="B8" s="6" t="n"/>
    </row>
    <row r="9">
      <c r="A9" s="21">
        <f>"-LAYER M "&amp;'Boundary'!$F$8&amp;" "</f>
        <v/>
      </c>
      <c r="B9" s="22" t="inlineStr">
        <is>
          <t>Set the lengths layer</t>
        </is>
      </c>
    </row>
    <row r="10">
      <c r="A10" s="21">
        <f>IF(ISNUMBER('Sides'!B6),"-TEXT J MC "&amp;SUBSTITUTE(ROUND('Sides'!I6,3)&amp;"",",",".")&amp;","&amp;SUBSTITUTE(ROUND('Sides'!J6,3)&amp;"",",",".")&amp;",0 "&amp;SUBSTITUTE(ROUND('Boundary'!$F$6,3)&amp;"",",",".")&amp;" "&amp;SUBSTITUTE(ROUND('Sides'!E6,3)&amp;"",",",".")&amp;" "&amp;SUBSTITUTE(FIXED('Sides'!B6,2,TRUE),",",""),"")</f>
        <v/>
      </c>
    </row>
    <row r="11">
      <c r="A11" s="21">
        <f>IF(ISNUMBER('Sides'!B7),"-TEXT J MC "&amp;SUBSTITUTE(ROUND('Sides'!I7,3)&amp;"",",",".")&amp;","&amp;SUBSTITUTE(ROUND('Sides'!J7,3)&amp;"",",",".")&amp;",0 "&amp;SUBSTITUTE(ROUND('Boundary'!$F$6,3)&amp;"",",",".")&amp;" "&amp;SUBSTITUTE(ROUND('Sides'!E7,3)&amp;"",",",".")&amp;" "&amp;SUBSTITUTE(FIXED('Sides'!B7,2,TRUE),",",""),"")</f>
        <v/>
      </c>
    </row>
    <row r="12">
      <c r="A12" s="21">
        <f>IF(ISNUMBER('Sides'!B8),"-TEXT J MC "&amp;SUBSTITUTE(ROUND('Sides'!I8,3)&amp;"",",",".")&amp;","&amp;SUBSTITUTE(ROUND('Sides'!J8,3)&amp;"",",",".")&amp;",0 "&amp;SUBSTITUTE(ROUND('Boundary'!$F$6,3)&amp;"",",",".")&amp;" "&amp;SUBSTITUTE(ROUND('Sides'!E8,3)&amp;"",",",".")&amp;" "&amp;SUBSTITUTE(FIXED('Sides'!B8,2,TRUE),",",""),"")</f>
        <v/>
      </c>
    </row>
    <row r="13">
      <c r="A13" s="21">
        <f>IF(ISNUMBER('Sides'!B9),"-TEXT J MC "&amp;SUBSTITUTE(ROUND('Sides'!I9,3)&amp;"",",",".")&amp;","&amp;SUBSTITUTE(ROUND('Sides'!J9,3)&amp;"",",",".")&amp;",0 "&amp;SUBSTITUTE(ROUND('Boundary'!$F$6,3)&amp;"",",",".")&amp;" "&amp;SUBSTITUTE(ROUND('Sides'!E9,3)&amp;"",",",".")&amp;" "&amp;SUBSTITUTE(FIXED('Sides'!B9,2,TRUE),",",""),"")</f>
        <v/>
      </c>
    </row>
    <row r="14">
      <c r="A14" s="21">
        <f>IF(ISNUMBER('Sides'!B10),"-TEXT J MC "&amp;SUBSTITUTE(ROUND('Sides'!I10,3)&amp;"",",",".")&amp;","&amp;SUBSTITUTE(ROUND('Sides'!J10,3)&amp;"",",",".")&amp;",0 "&amp;SUBSTITUTE(ROUND('Boundary'!$F$6,3)&amp;"",",",".")&amp;" "&amp;SUBSTITUTE(ROUND('Sides'!E10,3)&amp;"",",",".")&amp;" "&amp;SUBSTITUTE(FIXED('Sides'!B10,2,TRUE),",",""),"")</f>
        <v/>
      </c>
    </row>
    <row r="15">
      <c r="A15" s="21">
        <f>IF(ISNUMBER('Sides'!B11),"-TEXT J MC "&amp;SUBSTITUTE(ROUND('Sides'!I11,3)&amp;"",",",".")&amp;","&amp;SUBSTITUTE(ROUND('Sides'!J11,3)&amp;"",",",".")&amp;",0 "&amp;SUBSTITUTE(ROUND('Boundary'!$F$6,3)&amp;"",",",".")&amp;" "&amp;SUBSTITUTE(ROUND('Sides'!E11,3)&amp;"",",",".")&amp;" "&amp;SUBSTITUTE(FIXED('Sides'!B11,2,TRUE),",",""),"")</f>
        <v/>
      </c>
    </row>
    <row r="16">
      <c r="A16" s="21">
        <f>IF(ISNUMBER('Sides'!B12),"-TEXT J MC "&amp;SUBSTITUTE(ROUND('Sides'!I12,3)&amp;"",",",".")&amp;","&amp;SUBSTITUTE(ROUND('Sides'!J12,3)&amp;"",",",".")&amp;",0 "&amp;SUBSTITUTE(ROUND('Boundary'!$F$6,3)&amp;"",",",".")&amp;" "&amp;SUBSTITUTE(ROUND('Sides'!E12,3)&amp;"",",",".")&amp;" "&amp;SUBSTITUTE(FIXED('Sides'!B12,2,TRUE),",",""),"")</f>
        <v/>
      </c>
    </row>
    <row r="17">
      <c r="A17" s="21">
        <f>IF(ISNUMBER('Sides'!B13),"-TEXT J MC "&amp;SUBSTITUTE(ROUND('Sides'!I13,3)&amp;"",",",".")&amp;","&amp;SUBSTITUTE(ROUND('Sides'!J13,3)&amp;"",",",".")&amp;",0 "&amp;SUBSTITUTE(ROUND('Boundary'!$F$6,3)&amp;"",",",".")&amp;" "&amp;SUBSTITUTE(ROUND('Sides'!E13,3)&amp;"",",",".")&amp;" "&amp;SUBSTITUTE(FIXED('Sides'!B13,2,TRUE),",",""),"")</f>
        <v/>
      </c>
    </row>
    <row r="18">
      <c r="A18" s="21">
        <f>IF(ISNUMBER('Sides'!B14),"-TEXT J MC "&amp;SUBSTITUTE(ROUND('Sides'!I14,3)&amp;"",",",".")&amp;","&amp;SUBSTITUTE(ROUND('Sides'!J14,3)&amp;"",",",".")&amp;",0 "&amp;SUBSTITUTE(ROUND('Boundary'!$F$6,3)&amp;"",",",".")&amp;" "&amp;SUBSTITUTE(ROUND('Sides'!E14,3)&amp;"",",",".")&amp;" "&amp;SUBSTITUTE(FIXED('Sides'!B14,2,TRUE),",",""),"")</f>
        <v/>
      </c>
    </row>
    <row r="19">
      <c r="A19" s="21">
        <f>IF(ISNUMBER('Sides'!B15),"-TEXT J MC "&amp;SUBSTITUTE(ROUND('Sides'!I15,3)&amp;"",",",".")&amp;","&amp;SUBSTITUTE(ROUND('Sides'!J15,3)&amp;"",",",".")&amp;",0 "&amp;SUBSTITUTE(ROUND('Boundary'!$F$6,3)&amp;"",",",".")&amp;" "&amp;SUBSTITUTE(ROUND('Sides'!E15,3)&amp;"",",",".")&amp;" "&amp;SUBSTITUTE(FIXED('Sides'!B15,2,TRUE),",",""),"")</f>
        <v/>
      </c>
    </row>
    <row r="20">
      <c r="A20" s="21">
        <f>IF(ISNUMBER('Sides'!B16),"-TEXT J MC "&amp;SUBSTITUTE(ROUND('Sides'!I16,3)&amp;"",",",".")&amp;","&amp;SUBSTITUTE(ROUND('Sides'!J16,3)&amp;"",",",".")&amp;",0 "&amp;SUBSTITUTE(ROUND('Boundary'!$F$6,3)&amp;"",",",".")&amp;" "&amp;SUBSTITUTE(ROUND('Sides'!E16,3)&amp;"",",",".")&amp;" "&amp;SUBSTITUTE(FIXED('Sides'!B16,2,TRUE),",",""),"")</f>
        <v/>
      </c>
    </row>
    <row r="21">
      <c r="A21" s="21">
        <f>IF(ISNUMBER('Sides'!B17),"-TEXT J MC "&amp;SUBSTITUTE(ROUND('Sides'!I17,3)&amp;"",",",".")&amp;","&amp;SUBSTITUTE(ROUND('Sides'!J17,3)&amp;"",",",".")&amp;",0 "&amp;SUBSTITUTE(ROUND('Boundary'!$F$6,3)&amp;"",",",".")&amp;" "&amp;SUBSTITUTE(ROUND('Sides'!E17,3)&amp;"",",",".")&amp;" "&amp;SUBSTITUTE(FIXED('Sides'!B17,2,TRUE),",",""),"")</f>
        <v/>
      </c>
    </row>
    <row r="22">
      <c r="A22" s="21">
        <f>IF(ISNUMBER('Sides'!B18),"-TEXT J MC "&amp;SUBSTITUTE(ROUND('Sides'!I18,3)&amp;"",",",".")&amp;","&amp;SUBSTITUTE(ROUND('Sides'!J18,3)&amp;"",",",".")&amp;",0 "&amp;SUBSTITUTE(ROUND('Boundary'!$F$6,3)&amp;"",",",".")&amp;" "&amp;SUBSTITUTE(ROUND('Sides'!E18,3)&amp;"",",",".")&amp;" "&amp;SUBSTITUTE(FIXED('Sides'!B18,2,TRUE),",",""),"")</f>
        <v/>
      </c>
    </row>
    <row r="23">
      <c r="A23" s="21">
        <f>IF(ISNUMBER('Sides'!B19),"-TEXT J MC "&amp;SUBSTITUTE(ROUND('Sides'!I19,3)&amp;"",",",".")&amp;","&amp;SUBSTITUTE(ROUND('Sides'!J19,3)&amp;"",",",".")&amp;",0 "&amp;SUBSTITUTE(ROUND('Boundary'!$F$6,3)&amp;"",",",".")&amp;" "&amp;SUBSTITUTE(ROUND('Sides'!E19,3)&amp;"",",",".")&amp;" "&amp;SUBSTITUTE(FIXED('Sides'!B19,2,TRUE),",",""),"")</f>
        <v/>
      </c>
    </row>
    <row r="24">
      <c r="A24" s="21">
        <f>IF(ISNUMBER('Sides'!B20),"-TEXT J MC "&amp;SUBSTITUTE(ROUND('Sides'!I20,3)&amp;"",",",".")&amp;","&amp;SUBSTITUTE(ROUND('Sides'!J20,3)&amp;"",",",".")&amp;",0 "&amp;SUBSTITUTE(ROUND('Boundary'!$F$6,3)&amp;"",",",".")&amp;" "&amp;SUBSTITUTE(ROUND('Sides'!E20,3)&amp;"",",",".")&amp;" "&amp;SUBSTITUTE(FIXED('Sides'!B20,2,TRUE),",",""),"")</f>
        <v/>
      </c>
    </row>
    <row r="25">
      <c r="A25" s="21">
        <f>IF(ISNUMBER('Sides'!B21),"-TEXT J MC "&amp;SUBSTITUTE(ROUND('Sides'!I21,3)&amp;"",",",".")&amp;","&amp;SUBSTITUTE(ROUND('Sides'!J21,3)&amp;"",",",".")&amp;",0 "&amp;SUBSTITUTE(ROUND('Boundary'!$F$6,3)&amp;"",",",".")&amp;" "&amp;SUBSTITUTE(ROUND('Sides'!E21,3)&amp;"",",",".")&amp;" "&amp;SUBSTITUTE(FIXED('Sides'!B21,2,TRUE),",",""),"")</f>
        <v/>
      </c>
    </row>
    <row r="26">
      <c r="A26" s="21">
        <f>IF(ISNUMBER('Sides'!B22),"-TEXT J MC "&amp;SUBSTITUTE(ROUND('Sides'!I22,3)&amp;"",",",".")&amp;","&amp;SUBSTITUTE(ROUND('Sides'!J22,3)&amp;"",",",".")&amp;",0 "&amp;SUBSTITUTE(ROUND('Boundary'!$F$6,3)&amp;"",",",".")&amp;" "&amp;SUBSTITUTE(ROUND('Sides'!E22,3)&amp;"",",",".")&amp;" "&amp;SUBSTITUTE(FIXED('Sides'!B22,2,TRUE),",",""),"")</f>
        <v/>
      </c>
    </row>
    <row r="27">
      <c r="A27" s="21">
        <f>IF(ISNUMBER('Sides'!B23),"-TEXT J MC "&amp;SUBSTITUTE(ROUND('Sides'!I23,3)&amp;"",",",".")&amp;","&amp;SUBSTITUTE(ROUND('Sides'!J23,3)&amp;"",",",".")&amp;",0 "&amp;SUBSTITUTE(ROUND('Boundary'!$F$6,3)&amp;"",",",".")&amp;" "&amp;SUBSTITUTE(ROUND('Sides'!E23,3)&amp;"",",",".")&amp;" "&amp;SUBSTITUTE(FIXED('Sides'!B23,2,TRUE),",",""),"")</f>
        <v/>
      </c>
    </row>
    <row r="28">
      <c r="A28" s="21">
        <f>IF(ISNUMBER('Sides'!B24),"-TEXT J MC "&amp;SUBSTITUTE(ROUND('Sides'!I24,3)&amp;"",",",".")&amp;","&amp;SUBSTITUTE(ROUND('Sides'!J24,3)&amp;"",",",".")&amp;",0 "&amp;SUBSTITUTE(ROUND('Boundary'!$F$6,3)&amp;"",",",".")&amp;" "&amp;SUBSTITUTE(ROUND('Sides'!E24,3)&amp;"",",",".")&amp;" "&amp;SUBSTITUTE(FIXED('Sides'!B24,2,TRUE),",",""),"")</f>
        <v/>
      </c>
    </row>
    <row r="29">
      <c r="A29" s="21">
        <f>IF(ISNUMBER('Sides'!B25),"-TEXT J MC "&amp;SUBSTITUTE(ROUND('Sides'!I25,3)&amp;"",",",".")&amp;","&amp;SUBSTITUTE(ROUND('Sides'!J25,3)&amp;"",",",".")&amp;",0 "&amp;SUBSTITUTE(ROUND('Boundary'!$F$6,3)&amp;"",",",".")&amp;" "&amp;SUBSTITUTE(ROUND('Sides'!E25,3)&amp;"",",",".")&amp;" "&amp;SUBSTITUTE(FIXED('Sides'!B25,2,TRUE),",",""),"")</f>
        <v/>
      </c>
    </row>
    <row r="30">
      <c r="A30" s="21">
        <f>IF(ISNUMBER('Sides'!B26),"-TEXT J MC "&amp;SUBSTITUTE(ROUND('Sides'!I26,3)&amp;"",",",".")&amp;","&amp;SUBSTITUTE(ROUND('Sides'!J26,3)&amp;"",",",".")&amp;",0 "&amp;SUBSTITUTE(ROUND('Boundary'!$F$6,3)&amp;"",",",".")&amp;" "&amp;SUBSTITUTE(ROUND('Sides'!E26,3)&amp;"",",",".")&amp;" "&amp;SUBSTITUTE(FIXED('Sides'!B26,2,TRUE),",",""),"")</f>
        <v/>
      </c>
    </row>
    <row r="31">
      <c r="A31" s="21">
        <f>IF(ISNUMBER('Sides'!B27),"-TEXT J MC "&amp;SUBSTITUTE(ROUND('Sides'!I27,3)&amp;"",",",".")&amp;","&amp;SUBSTITUTE(ROUND('Sides'!J27,3)&amp;"",",",".")&amp;",0 "&amp;SUBSTITUTE(ROUND('Boundary'!$F$6,3)&amp;"",",",".")&amp;" "&amp;SUBSTITUTE(ROUND('Sides'!E27,3)&amp;"",",",".")&amp;" "&amp;SUBSTITUTE(FIXED('Sides'!B27,2,TRUE),",",""),"")</f>
        <v/>
      </c>
    </row>
    <row r="32">
      <c r="A32" s="21">
        <f>IF(ISNUMBER('Sides'!B28),"-TEXT J MC "&amp;SUBSTITUTE(ROUND('Sides'!I28,3)&amp;"",",",".")&amp;","&amp;SUBSTITUTE(ROUND('Sides'!J28,3)&amp;"",",",".")&amp;",0 "&amp;SUBSTITUTE(ROUND('Boundary'!$F$6,3)&amp;"",",",".")&amp;" "&amp;SUBSTITUTE(ROUND('Sides'!E28,3)&amp;"",",",".")&amp;" "&amp;SUBSTITUTE(FIXED('Sides'!B28,2,TRUE),",",""),"")</f>
        <v/>
      </c>
    </row>
    <row r="33">
      <c r="A33" s="21">
        <f>IF(ISNUMBER('Sides'!B29),"-TEXT J MC "&amp;SUBSTITUTE(ROUND('Sides'!I29,3)&amp;"",",",".")&amp;","&amp;SUBSTITUTE(ROUND('Sides'!J29,3)&amp;"",",",".")&amp;",0 "&amp;SUBSTITUTE(ROUND('Boundary'!$F$6,3)&amp;"",",",".")&amp;" "&amp;SUBSTITUTE(ROUND('Sides'!E29,3)&amp;"",",",".")&amp;" "&amp;SUBSTITUTE(FIXED('Sides'!B29,2,TRUE),",",""),"")</f>
        <v/>
      </c>
    </row>
    <row r="34">
      <c r="A34" s="21">
        <f>IF(ISNUMBER('Sides'!B30),"-TEXT J MC "&amp;SUBSTITUTE(ROUND('Sides'!I30,3)&amp;"",",",".")&amp;","&amp;SUBSTITUTE(ROUND('Sides'!J30,3)&amp;"",",",".")&amp;",0 "&amp;SUBSTITUTE(ROUND('Boundary'!$F$6,3)&amp;"",",",".")&amp;" "&amp;SUBSTITUTE(ROUND('Sides'!E30,3)&amp;"",",",".")&amp;" "&amp;SUBSTITUTE(FIXED('Sides'!B30,2,TRUE),",",""),"")</f>
        <v/>
      </c>
    </row>
    <row r="35">
      <c r="A35" s="21">
        <f>IF(ISNUMBER('Sides'!B31),"-TEXT J MC "&amp;SUBSTITUTE(ROUND('Sides'!I31,3)&amp;"",",",".")&amp;","&amp;SUBSTITUTE(ROUND('Sides'!J31,3)&amp;"",",",".")&amp;",0 "&amp;SUBSTITUTE(ROUND('Boundary'!$F$6,3)&amp;"",",",".")&amp;" "&amp;SUBSTITUTE(ROUND('Sides'!E31,3)&amp;"",",",".")&amp;" "&amp;SUBSTITUTE(FIXED('Sides'!B31,2,TRUE),",",""),"")</f>
        <v/>
      </c>
    </row>
    <row r="36">
      <c r="A36" s="21">
        <f>IF(ISNUMBER('Sides'!B32),"-TEXT J MC "&amp;SUBSTITUTE(ROUND('Sides'!I32,3)&amp;"",",",".")&amp;","&amp;SUBSTITUTE(ROUND('Sides'!J32,3)&amp;"",",",".")&amp;",0 "&amp;SUBSTITUTE(ROUND('Boundary'!$F$6,3)&amp;"",",",".")&amp;" "&amp;SUBSTITUTE(ROUND('Sides'!E32,3)&amp;"",",",".")&amp;" "&amp;SUBSTITUTE(FIXED('Sides'!B32,2,TRUE),",",""),"")</f>
        <v/>
      </c>
    </row>
    <row r="37">
      <c r="A37" s="21">
        <f>IF(ISNUMBER('Sides'!B33),"-TEXT J MC "&amp;SUBSTITUTE(ROUND('Sides'!I33,3)&amp;"",",",".")&amp;","&amp;SUBSTITUTE(ROUND('Sides'!J33,3)&amp;"",",",".")&amp;",0 "&amp;SUBSTITUTE(ROUND('Boundary'!$F$6,3)&amp;"",",",".")&amp;" "&amp;SUBSTITUTE(ROUND('Sides'!E33,3)&amp;"",",",".")&amp;" "&amp;SUBSTITUTE(FIXED('Sides'!B33,2,TRUE),",",""),"")</f>
        <v/>
      </c>
    </row>
    <row r="38">
      <c r="A38" s="21">
        <f>IF(ISNUMBER('Sides'!B34),"-TEXT J MC "&amp;SUBSTITUTE(ROUND('Sides'!I34,3)&amp;"",",",".")&amp;","&amp;SUBSTITUTE(ROUND('Sides'!J34,3)&amp;"",",",".")&amp;",0 "&amp;SUBSTITUTE(ROUND('Boundary'!$F$6,3)&amp;"",",",".")&amp;" "&amp;SUBSTITUTE(ROUND('Sides'!E34,3)&amp;"",",",".")&amp;" "&amp;SUBSTITUTE(FIXED('Sides'!B34,2,TRUE),",",""),"")</f>
        <v/>
      </c>
    </row>
    <row r="39">
      <c r="A39" s="21">
        <f>IF(ISNUMBER('Sides'!B35),"-TEXT J MC "&amp;SUBSTITUTE(ROUND('Sides'!I35,3)&amp;"",",",".")&amp;","&amp;SUBSTITUTE(ROUND('Sides'!J35,3)&amp;"",",",".")&amp;",0 "&amp;SUBSTITUTE(ROUND('Boundary'!$F$6,3)&amp;"",",",".")&amp;" "&amp;SUBSTITUTE(ROUND('Sides'!E35,3)&amp;"",",",".")&amp;" "&amp;SUBSTITUTE(FIXED('Sides'!B35,2,TRUE),",",""),"")</f>
        <v/>
      </c>
    </row>
    <row r="40"/>
    <row r="41" ht="22" customHeight="1">
      <c r="A41" s="5" t="inlineStr">
        <is>
          <t>3) Area text at the centroid</t>
        </is>
      </c>
      <c r="B41" s="6" t="n"/>
    </row>
    <row r="42">
      <c r="A42" s="21">
        <f>"-TEXT J MC "&amp;SUBSTITUTE(ROUND('Boundary'!$F$17,3)&amp;"",",",".")&amp;","&amp;SUBSTITUTE(ROUND('Boundary'!$F$18,3)&amp;"",",",".")&amp;",0 "&amp;SUBSTITUTE(ROUND('Boundary'!$F$6*1.5,3)&amp;"",",",".")&amp;" 0 Area="&amp;SUBSTITUTE(FIXED('Boundary'!$F$12,2,TRUE),",","")&amp;"m2"</f>
        <v/>
      </c>
    </row>
    <row r="43" ht="28" customHeight="1">
      <c r="A43" s="23" t="inlineStr">
        <is>
          <t>Copy the lengths lines from the first to the last non-empty one (do not copy the empty rows after it).</t>
        </is>
      </c>
    </row>
  </sheetData>
  <sheetProtection selectLockedCells="0" selectUnlockedCells="0" sheet="1" objects="0" insertRows="1" insertHyperlinks="1" autoFilter="0" scenarios="0" formatColumns="0" deleteColumns="1" insertColumns="1" pivotTables="1" deleteRows="1" formatCells="0" formatRows="0" sort="0"/>
  <mergeCells count="6">
    <mergeCell ref="A4:B4"/>
    <mergeCell ref="A2:B2"/>
    <mergeCell ref="A43:B43"/>
    <mergeCell ref="A41:B41"/>
    <mergeCell ref="A1:B1"/>
    <mergeCell ref="A8:B8"/>
  </mergeCells>
  <printOptions horizontalCentered="1"/>
  <pageMargins left="0.4" right="0.4" top="1" bottom="1" header="0.5" footer="0.5"/>
  <pageSetup paperSize="9" fitToHeight="0" fitToWidth="1"/>
  <headerFooter>
    <oddHeader/>
    <oddFooter>&amp;CSheetaky.com</oddFooter>
    <evenHeader/>
    <evenFooter/>
    <firstHeader/>
    <firstFooter/>
  </headerFooter>
</worksheet>
</file>

<file path=xl/worksheets/sheet4.xml><?xml version="1.0" encoding="utf-8"?>
<worksheet xmlns="http://schemas.openxmlformats.org/spreadsheetml/2006/main">
  <sheetPr>
    <tabColor rgb="00E8A317"/>
    <outlinePr summaryBelow="1" summaryRight="1"/>
    <pageSetUpPr fitToPage="1"/>
  </sheetPr>
  <dimension ref="A1:B25"/>
  <sheetViews>
    <sheetView showGridLines="0" rightToLeft="0" zoomScale="100" workbookViewId="0">
      <selection activeCell="A1" sqref="A1"/>
    </sheetView>
  </sheetViews>
  <sheetFormatPr baseColWidth="8" defaultRowHeight="15"/>
  <cols>
    <col width="4" customWidth="1" min="1" max="1"/>
    <col width="92" customWidth="1" min="2" max="2"/>
  </cols>
  <sheetData>
    <row r="1" ht="36" customHeight="1">
      <c r="A1" s="1" t="inlineStr">
        <is>
          <t>How to use: Land Boundary: Area, Perimeter and AutoCAD Polyline</t>
        </is>
      </c>
      <c r="B1" s="2" t="n"/>
    </row>
    <row r="2" ht="18" customHeight="1">
      <c r="A2" s="3" t="inlineStr">
        <is>
          <t>Sheetaky.com · Ready Excel sheets in Arabic and English</t>
        </is>
      </c>
      <c r="B2" s="4" t="n"/>
    </row>
    <row r="3"/>
    <row r="4" ht="22" customHeight="1">
      <c r="A4" s="5" t="inlineStr">
        <is>
          <t>What is this sheet?</t>
        </is>
      </c>
      <c r="B4" s="6" t="n"/>
    </row>
    <row r="5" ht="45" customHeight="1">
      <c r="A5" s="21" t="inlineStr">
        <is>
          <t>The sheet calculates plot area and perimeter from the corner coordinates with the coordinate (shoelace) method, gives the length, azimuth and text angle of each side, and generates AutoCAD commands to draw the boundary and write lengths and area.</t>
        </is>
      </c>
    </row>
    <row r="6"/>
    <row r="7" ht="22" customHeight="1">
      <c r="A7" s="5" t="inlineStr">
        <is>
          <t>Steps</t>
        </is>
      </c>
      <c r="B7" s="6" t="n"/>
    </row>
    <row r="8" ht="30" customHeight="1">
      <c r="A8" s="24" t="n">
        <v>1</v>
      </c>
      <c r="B8" s="21" t="inlineStr">
        <is>
          <t>Enter the corners in order around the boundary (clockwise or anticlockwise) with no empty rows.</t>
        </is>
      </c>
    </row>
    <row r="9" ht="20" customHeight="1">
      <c r="A9" s="24" t="n">
        <v>2</v>
      </c>
      <c r="B9" s="21" t="inlineStr">
        <is>
          <t>Choose whether the line is closed, and adjust text height and layer names.</t>
        </is>
      </c>
    </row>
    <row r="10" ht="20" customHeight="1">
      <c r="A10" s="24" t="n">
        <v>3</v>
      </c>
      <c r="B10" s="21" t="inlineStr">
        <is>
          <t>Read area and perimeter in m², hectares, feddan and dunum, and each side in the "Sides" sheet.</t>
        </is>
      </c>
    </row>
    <row r="11" ht="30" customHeight="1">
      <c r="A11" s="24" t="n">
        <v>4</v>
      </c>
      <c r="B11" s="21" t="inlineStr">
        <is>
          <t>From the "AutoCAD" sheet copy the polyline command then the lengths and area commands and paste them into AutoCAD.</t>
        </is>
      </c>
    </row>
    <row r="12"/>
    <row r="13" ht="22" customHeight="1">
      <c r="A13" s="5" t="inlineStr">
        <is>
          <t>Color legend</t>
        </is>
      </c>
      <c r="B13" s="6" t="n"/>
    </row>
    <row r="14">
      <c r="A14" s="25" t="inlineStr"/>
      <c r="B14" s="21" t="inlineStr">
        <is>
          <t>Input cell: type or choose your value here (blue text on yellow).</t>
        </is>
      </c>
    </row>
    <row r="15">
      <c r="A15" s="26" t="inlineStr"/>
      <c r="B15" s="21" t="inlineStr">
        <is>
          <t>Calculated cell: automatic formula, protected from accidental edits.</t>
        </is>
      </c>
    </row>
    <row r="16">
      <c r="A16" s="27" t="inlineStr"/>
      <c r="B16" s="21" t="inlineStr">
        <is>
          <t>Table and section headers.</t>
        </is>
      </c>
    </row>
    <row r="17"/>
    <row r="18" ht="22" customHeight="1">
      <c r="A18" s="5" t="inlineStr">
        <is>
          <t>Important notes</t>
        </is>
      </c>
      <c r="B18" s="6" t="n"/>
    </row>
    <row r="19" ht="30" customHeight="1">
      <c r="A19" s="28" t="inlineStr">
        <is>
          <t>•</t>
        </is>
      </c>
      <c r="B19" s="29" t="inlineStr">
        <is>
          <t>Coordinates must be in one plane system (UTM or local). Do not mix latitude/longitude with metric coordinates.</t>
        </is>
      </c>
    </row>
    <row r="20" ht="20" customHeight="1">
      <c r="A20" s="28" t="inlineStr">
        <is>
          <t>•</t>
        </is>
      </c>
      <c r="B20" s="29" t="inlineStr">
        <is>
          <t>Self-crossing boundaries (a figure 8) give a wrong area; check the point order.</t>
        </is>
      </c>
    </row>
    <row r="21" ht="20" customHeight="1">
      <c r="A21" s="28" t="inlineStr">
        <is>
          <t>•</t>
        </is>
      </c>
      <c r="B21" s="29" t="inlineStr">
        <is>
          <t>The dunum used here is 1000 m² and the Egyptian feddan is 4200.833 m².</t>
        </is>
      </c>
    </row>
    <row r="22" ht="20" customHeight="1">
      <c r="A22" s="28" t="inlineStr">
        <is>
          <t>•</t>
        </is>
      </c>
      <c r="B22" s="29" t="inlineStr">
        <is>
          <t>Rotated text is flipped automatically to read from the bottom or right as on maps.</t>
        </is>
      </c>
    </row>
    <row r="23" ht="30" customHeight="1">
      <c r="A23" s="28" t="inlineStr">
        <is>
          <t>•</t>
        </is>
      </c>
      <c r="B23" s="29" t="inlineStr">
        <is>
          <t>Sheets are protected without a password to keep formulas safe. To unprotect: Review → Unprotect Sheet.</t>
        </is>
      </c>
    </row>
    <row r="24" ht="20" customHeight="1">
      <c r="A24" s="28" t="inlineStr">
        <is>
          <t>•</t>
        </is>
      </c>
      <c r="B24" s="29" t="inlineStr">
        <is>
          <t>The data shown is a worked example. Clear it and type your own data in the yellow cells only.</t>
        </is>
      </c>
    </row>
    <row r="25" ht="20" customHeight="1">
      <c r="A25" s="28" t="inlineStr">
        <is>
          <t>•</t>
        </is>
      </c>
      <c r="B25" s="29" t="inlineStr">
        <is>
          <t>More free sheets in Arabic and English at Sheetaky.com</t>
        </is>
      </c>
    </row>
  </sheetData>
  <sheetProtection selectLockedCells="0" selectUnlockedCells="0" sheet="1" objects="0" insertRows="1" insertHyperlinks="1" autoFilter="0" scenarios="0" formatColumns="0" deleteColumns="1" insertColumns="1" pivotTables="1" deleteRows="1" formatCells="0" formatRows="0" sort="0"/>
  <mergeCells count="7">
    <mergeCell ref="A4:B4"/>
    <mergeCell ref="A2:B2"/>
    <mergeCell ref="A7:B7"/>
    <mergeCell ref="A5:B5"/>
    <mergeCell ref="A13:B13"/>
    <mergeCell ref="A1:B1"/>
    <mergeCell ref="A18:B18"/>
  </mergeCells>
  <printOptions horizontalCentered="1"/>
  <pageMargins left="0.4" right="0.4" top="1" bottom="1" header="0.5" footer="0.5"/>
  <pageSetup paperSize="9" fitToHeight="0" fitToWidth="1"/>
  <headerFooter>
    <oddHeader/>
    <oddFooter>&amp;CSheetaky.com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Sheetaky.com</dc:creator>
  <dc:title xmlns:dc="http://purl.org/dc/elements/1.1/">BND</dc:title>
  <dcterms:created xmlns:dcterms="http://purl.org/dc/terms/" xmlns:xsi="http://www.w3.org/2001/XMLSchema-instance" xsi:type="dcterms:W3CDTF">2026-10-23T01:06:17Z</dcterms:created>
  <dcterms:modified xmlns:dcterms="http://purl.org/dc/terms/" xmlns:xsi="http://www.w3.org/2001/XMLSchema-instance" xsi:type="dcterms:W3CDTF">2026-10-23T01:06:17Z</dcterms:modified>
</cp:coreProperties>
</file>